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15396" windowHeight="8040" tabRatio="769"/>
  </bookViews>
  <sheets>
    <sheet name="Introduction-Instructions" sheetId="25" r:id="rId1"/>
    <sheet name="Monthly Historical Flow-Gen" sheetId="6" r:id="rId2"/>
    <sheet name="Average Historical Flow" sheetId="7" r:id="rId3"/>
    <sheet name="cfs limit calculation" sheetId="8" r:id="rId4"/>
    <sheet name="Calculations" sheetId="12" r:id="rId5"/>
    <sheet name="Calculations - Outliers Removed" sheetId="24" r:id="rId6"/>
  </sheets>
  <definedNames>
    <definedName name="_xlnm.Print_Area" localSheetId="4">Calculations!$A$1:$AA$188</definedName>
    <definedName name="_xlnm.Print_Area" localSheetId="5">'Calculations - Outliers Removed'!$A$1:$AA$188</definedName>
    <definedName name="_xlnm.Print_Area" localSheetId="1">'Monthly Historical Flow-Gen'!$A$1:$V$81</definedName>
  </definedNames>
  <calcPr calcId="145621"/>
</workbook>
</file>

<file path=xl/calcChain.xml><?xml version="1.0" encoding="utf-8"?>
<calcChain xmlns="http://schemas.openxmlformats.org/spreadsheetml/2006/main">
  <c r="N137" i="24" l="1"/>
  <c r="M137" i="24"/>
  <c r="L137" i="24"/>
  <c r="K137" i="24"/>
  <c r="J137" i="24"/>
  <c r="I137" i="24"/>
  <c r="H137" i="24"/>
  <c r="G137" i="24"/>
  <c r="F137" i="24"/>
  <c r="E137" i="24"/>
  <c r="D137" i="24"/>
  <c r="C137" i="24"/>
  <c r="P132" i="24" l="1"/>
  <c r="P127" i="24"/>
  <c r="P122" i="24"/>
  <c r="P117" i="24"/>
  <c r="P112" i="24"/>
  <c r="P107" i="24"/>
  <c r="P102" i="24"/>
  <c r="P97" i="24"/>
  <c r="P92" i="24"/>
  <c r="P87" i="24"/>
  <c r="P82" i="24"/>
  <c r="P77" i="24"/>
  <c r="P72" i="24"/>
  <c r="P67" i="24"/>
  <c r="P62" i="24"/>
  <c r="P57" i="24"/>
  <c r="P52" i="24"/>
  <c r="P47" i="24"/>
  <c r="P42" i="24"/>
  <c r="P37" i="24"/>
  <c r="P32" i="24"/>
  <c r="P27" i="24"/>
  <c r="F29" i="24" s="1"/>
  <c r="P18" i="24"/>
  <c r="P13" i="24"/>
  <c r="P8" i="24"/>
  <c r="D10" i="24" s="1"/>
  <c r="C7" i="24"/>
  <c r="D7" i="24"/>
  <c r="E7" i="24"/>
  <c r="F7" i="24"/>
  <c r="G7" i="24"/>
  <c r="H7" i="24"/>
  <c r="I7" i="24"/>
  <c r="J7" i="24"/>
  <c r="K7" i="24"/>
  <c r="L7" i="24"/>
  <c r="M7" i="24"/>
  <c r="N7" i="24"/>
  <c r="C9" i="24"/>
  <c r="D9" i="24"/>
  <c r="E9" i="24"/>
  <c r="F9" i="24"/>
  <c r="G9" i="24"/>
  <c r="H9" i="24"/>
  <c r="I9" i="24"/>
  <c r="J9" i="24"/>
  <c r="K9" i="24"/>
  <c r="L9" i="24"/>
  <c r="M9" i="24"/>
  <c r="N9" i="24"/>
  <c r="C10" i="24"/>
  <c r="G10" i="24"/>
  <c r="K10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E29" i="24"/>
  <c r="I29" i="24"/>
  <c r="M29" i="24"/>
  <c r="C31" i="24"/>
  <c r="D31" i="24"/>
  <c r="E31" i="24"/>
  <c r="F31" i="24"/>
  <c r="G31" i="24"/>
  <c r="H31" i="24"/>
  <c r="I31" i="24"/>
  <c r="J31" i="24"/>
  <c r="K31" i="24"/>
  <c r="L31" i="24"/>
  <c r="M31" i="24"/>
  <c r="N31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L29" i="24" l="1"/>
  <c r="H29" i="24"/>
  <c r="D29" i="24"/>
  <c r="K29" i="24"/>
  <c r="G29" i="24"/>
  <c r="C29" i="24"/>
  <c r="N29" i="24"/>
  <c r="J29" i="24"/>
  <c r="N10" i="24"/>
  <c r="J10" i="24"/>
  <c r="F10" i="24"/>
  <c r="M10" i="24"/>
  <c r="I10" i="24"/>
  <c r="E10" i="24"/>
  <c r="L10" i="24"/>
  <c r="H10" i="24"/>
  <c r="P117" i="12"/>
  <c r="P102" i="12"/>
  <c r="P87" i="12"/>
  <c r="P72" i="12"/>
  <c r="P57" i="12"/>
  <c r="P42" i="12"/>
  <c r="F34" i="24" l="1"/>
  <c r="J34" i="24"/>
  <c r="N34" i="24"/>
  <c r="C34" i="24"/>
  <c r="G34" i="24"/>
  <c r="K34" i="24"/>
  <c r="D34" i="24"/>
  <c r="H34" i="24"/>
  <c r="L34" i="24"/>
  <c r="E34" i="24"/>
  <c r="I34" i="24"/>
  <c r="M34" i="24"/>
  <c r="D15" i="24"/>
  <c r="H15" i="24"/>
  <c r="L15" i="24"/>
  <c r="E15" i="24"/>
  <c r="I15" i="24"/>
  <c r="M15" i="24"/>
  <c r="F15" i="24"/>
  <c r="J15" i="24"/>
  <c r="N15" i="24"/>
  <c r="C15" i="24"/>
  <c r="G15" i="24"/>
  <c r="K15" i="24"/>
  <c r="L1" i="8"/>
  <c r="F39" i="24" l="1"/>
  <c r="J39" i="24"/>
  <c r="N39" i="24"/>
  <c r="C39" i="24"/>
  <c r="G39" i="24"/>
  <c r="K39" i="24"/>
  <c r="D39" i="24"/>
  <c r="H39" i="24"/>
  <c r="L39" i="24"/>
  <c r="E39" i="24"/>
  <c r="I39" i="24"/>
  <c r="M39" i="24"/>
  <c r="E20" i="24"/>
  <c r="I20" i="24"/>
  <c r="M20" i="24"/>
  <c r="F20" i="24"/>
  <c r="J20" i="24"/>
  <c r="N20" i="24"/>
  <c r="C20" i="24"/>
  <c r="G20" i="24"/>
  <c r="K20" i="24"/>
  <c r="D20" i="24"/>
  <c r="H20" i="24"/>
  <c r="L20" i="24"/>
  <c r="O153" i="24"/>
  <c r="N145" i="24"/>
  <c r="N153" i="24" s="1"/>
  <c r="M145" i="24"/>
  <c r="M153" i="24" s="1"/>
  <c r="L145" i="24"/>
  <c r="L153" i="24" s="1"/>
  <c r="K145" i="24"/>
  <c r="K153" i="24" s="1"/>
  <c r="J145" i="24"/>
  <c r="J153" i="24" s="1"/>
  <c r="I145" i="24"/>
  <c r="I153" i="24" s="1"/>
  <c r="H145" i="24"/>
  <c r="H153" i="24" s="1"/>
  <c r="G145" i="24"/>
  <c r="G153" i="24" s="1"/>
  <c r="F145" i="24"/>
  <c r="F153" i="24" s="1"/>
  <c r="E145" i="24"/>
  <c r="E153" i="24" s="1"/>
  <c r="D145" i="24"/>
  <c r="D153" i="24" s="1"/>
  <c r="C145" i="24"/>
  <c r="C153" i="24" s="1"/>
  <c r="N133" i="24"/>
  <c r="M133" i="24"/>
  <c r="L133" i="24"/>
  <c r="K133" i="24"/>
  <c r="J133" i="24"/>
  <c r="I133" i="24"/>
  <c r="H133" i="24"/>
  <c r="G133" i="24"/>
  <c r="F133" i="24"/>
  <c r="E133" i="24"/>
  <c r="D133" i="24"/>
  <c r="C133" i="24"/>
  <c r="O131" i="24"/>
  <c r="N128" i="24"/>
  <c r="M128" i="24"/>
  <c r="L128" i="24"/>
  <c r="K128" i="24"/>
  <c r="J128" i="24"/>
  <c r="I128" i="24"/>
  <c r="H128" i="24"/>
  <c r="G128" i="24"/>
  <c r="F128" i="24"/>
  <c r="E128" i="24"/>
  <c r="D128" i="24"/>
  <c r="C128" i="24"/>
  <c r="O126" i="24"/>
  <c r="N123" i="24"/>
  <c r="M123" i="24"/>
  <c r="L123" i="24"/>
  <c r="K123" i="24"/>
  <c r="J123" i="24"/>
  <c r="I123" i="24"/>
  <c r="H123" i="24"/>
  <c r="G123" i="24"/>
  <c r="F123" i="24"/>
  <c r="E123" i="24"/>
  <c r="D123" i="24"/>
  <c r="C123" i="24"/>
  <c r="O121" i="24"/>
  <c r="N118" i="24"/>
  <c r="M118" i="24"/>
  <c r="L118" i="24"/>
  <c r="K118" i="24"/>
  <c r="J118" i="24"/>
  <c r="I118" i="24"/>
  <c r="H118" i="24"/>
  <c r="G118" i="24"/>
  <c r="F118" i="24"/>
  <c r="E118" i="24"/>
  <c r="D118" i="24"/>
  <c r="C118" i="24"/>
  <c r="O116" i="24"/>
  <c r="N113" i="24"/>
  <c r="M113" i="24"/>
  <c r="L113" i="24"/>
  <c r="K113" i="24"/>
  <c r="J113" i="24"/>
  <c r="I113" i="24"/>
  <c r="H113" i="24"/>
  <c r="G113" i="24"/>
  <c r="F113" i="24"/>
  <c r="E113" i="24"/>
  <c r="D113" i="24"/>
  <c r="C113" i="24"/>
  <c r="O111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O106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O101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O96" i="24"/>
  <c r="N93" i="24"/>
  <c r="M93" i="24"/>
  <c r="L93" i="24"/>
  <c r="K93" i="24"/>
  <c r="J93" i="24"/>
  <c r="I93" i="24"/>
  <c r="H93" i="24"/>
  <c r="G93" i="24"/>
  <c r="F93" i="24"/>
  <c r="E93" i="24"/>
  <c r="D93" i="24"/>
  <c r="C93" i="24"/>
  <c r="O91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O86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O81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O76" i="24"/>
  <c r="N73" i="24"/>
  <c r="M73" i="24"/>
  <c r="L73" i="24"/>
  <c r="K73" i="24"/>
  <c r="J73" i="24"/>
  <c r="I73" i="24"/>
  <c r="H73" i="24"/>
  <c r="G73" i="24"/>
  <c r="F73" i="24"/>
  <c r="E73" i="24"/>
  <c r="D73" i="24"/>
  <c r="C73" i="24"/>
  <c r="O71" i="24"/>
  <c r="N68" i="24"/>
  <c r="M68" i="24"/>
  <c r="L68" i="24"/>
  <c r="K68" i="24"/>
  <c r="J68" i="24"/>
  <c r="I68" i="24"/>
  <c r="H68" i="24"/>
  <c r="G68" i="24"/>
  <c r="F68" i="24"/>
  <c r="E68" i="24"/>
  <c r="D68" i="24"/>
  <c r="C68" i="24"/>
  <c r="O66" i="24"/>
  <c r="N63" i="24"/>
  <c r="M63" i="24"/>
  <c r="L63" i="24"/>
  <c r="K63" i="24"/>
  <c r="J63" i="24"/>
  <c r="I63" i="24"/>
  <c r="H63" i="24"/>
  <c r="G63" i="24"/>
  <c r="F63" i="24"/>
  <c r="E63" i="24"/>
  <c r="D63" i="24"/>
  <c r="C63" i="24"/>
  <c r="O61" i="24"/>
  <c r="N58" i="24"/>
  <c r="M58" i="24"/>
  <c r="L58" i="24"/>
  <c r="K58" i="24"/>
  <c r="J58" i="24"/>
  <c r="I58" i="24"/>
  <c r="H58" i="24"/>
  <c r="G58" i="24"/>
  <c r="F58" i="24"/>
  <c r="E58" i="24"/>
  <c r="D58" i="24"/>
  <c r="C58" i="24"/>
  <c r="O56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O51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O46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O41" i="24"/>
  <c r="O36" i="24"/>
  <c r="O31" i="24"/>
  <c r="O26" i="24"/>
  <c r="O17" i="24"/>
  <c r="O12" i="24"/>
  <c r="O7" i="24"/>
  <c r="H1" i="24"/>
  <c r="E1" i="24"/>
  <c r="P127" i="12"/>
  <c r="N133" i="12"/>
  <c r="M133" i="12"/>
  <c r="L133" i="12"/>
  <c r="K133" i="12"/>
  <c r="J133" i="12"/>
  <c r="I133" i="12"/>
  <c r="H133" i="12"/>
  <c r="G133" i="12"/>
  <c r="F133" i="12"/>
  <c r="E133" i="12"/>
  <c r="D133" i="12"/>
  <c r="N128" i="12"/>
  <c r="M128" i="12"/>
  <c r="L128" i="12"/>
  <c r="K128" i="12"/>
  <c r="J128" i="12"/>
  <c r="I128" i="12"/>
  <c r="H128" i="12"/>
  <c r="G128" i="12"/>
  <c r="F128" i="12"/>
  <c r="E128" i="12"/>
  <c r="D128" i="12"/>
  <c r="N123" i="12"/>
  <c r="M123" i="12"/>
  <c r="L123" i="12"/>
  <c r="K123" i="12"/>
  <c r="J123" i="12"/>
  <c r="I123" i="12"/>
  <c r="H123" i="12"/>
  <c r="G123" i="12"/>
  <c r="F123" i="12"/>
  <c r="E123" i="12"/>
  <c r="D123" i="12"/>
  <c r="N118" i="12"/>
  <c r="M118" i="12"/>
  <c r="L118" i="12"/>
  <c r="K118" i="12"/>
  <c r="J118" i="12"/>
  <c r="I118" i="12"/>
  <c r="H118" i="12"/>
  <c r="G118" i="12"/>
  <c r="F118" i="12"/>
  <c r="E118" i="12"/>
  <c r="D118" i="12"/>
  <c r="N113" i="12"/>
  <c r="M113" i="12"/>
  <c r="L113" i="12"/>
  <c r="K113" i="12"/>
  <c r="J113" i="12"/>
  <c r="I113" i="12"/>
  <c r="H113" i="12"/>
  <c r="G113" i="12"/>
  <c r="F113" i="12"/>
  <c r="E113" i="12"/>
  <c r="D113" i="12"/>
  <c r="N108" i="12"/>
  <c r="M108" i="12"/>
  <c r="L108" i="12"/>
  <c r="K108" i="12"/>
  <c r="J108" i="12"/>
  <c r="I108" i="12"/>
  <c r="H108" i="12"/>
  <c r="G108" i="12"/>
  <c r="F108" i="12"/>
  <c r="E108" i="12"/>
  <c r="D108" i="12"/>
  <c r="N103" i="12"/>
  <c r="M103" i="12"/>
  <c r="L103" i="12"/>
  <c r="K103" i="12"/>
  <c r="J103" i="12"/>
  <c r="I103" i="12"/>
  <c r="H103" i="12"/>
  <c r="G103" i="12"/>
  <c r="F103" i="12"/>
  <c r="E103" i="12"/>
  <c r="D103" i="12"/>
  <c r="N98" i="12"/>
  <c r="M98" i="12"/>
  <c r="L98" i="12"/>
  <c r="K98" i="12"/>
  <c r="J98" i="12"/>
  <c r="I98" i="12"/>
  <c r="H98" i="12"/>
  <c r="G98" i="12"/>
  <c r="F98" i="12"/>
  <c r="E98" i="12"/>
  <c r="D98" i="12"/>
  <c r="N93" i="12"/>
  <c r="M93" i="12"/>
  <c r="L93" i="12"/>
  <c r="K93" i="12"/>
  <c r="J93" i="12"/>
  <c r="I93" i="12"/>
  <c r="H93" i="12"/>
  <c r="G93" i="12"/>
  <c r="F93" i="12"/>
  <c r="E93" i="12"/>
  <c r="D93" i="12"/>
  <c r="N88" i="12"/>
  <c r="M88" i="12"/>
  <c r="L88" i="12"/>
  <c r="K88" i="12"/>
  <c r="J88" i="12"/>
  <c r="I88" i="12"/>
  <c r="H88" i="12"/>
  <c r="G88" i="12"/>
  <c r="F88" i="12"/>
  <c r="E88" i="12"/>
  <c r="D88" i="12"/>
  <c r="N83" i="12"/>
  <c r="M83" i="12"/>
  <c r="L83" i="12"/>
  <c r="K83" i="12"/>
  <c r="J83" i="12"/>
  <c r="I83" i="12"/>
  <c r="H83" i="12"/>
  <c r="G83" i="12"/>
  <c r="F83" i="12"/>
  <c r="E83" i="12"/>
  <c r="D83" i="12"/>
  <c r="N78" i="12"/>
  <c r="M78" i="12"/>
  <c r="L78" i="12"/>
  <c r="K78" i="12"/>
  <c r="J78" i="12"/>
  <c r="I78" i="12"/>
  <c r="H78" i="12"/>
  <c r="G78" i="12"/>
  <c r="F78" i="12"/>
  <c r="E78" i="12"/>
  <c r="D78" i="12"/>
  <c r="N73" i="12"/>
  <c r="M73" i="12"/>
  <c r="L73" i="12"/>
  <c r="K73" i="12"/>
  <c r="J73" i="12"/>
  <c r="I73" i="12"/>
  <c r="H73" i="12"/>
  <c r="G73" i="12"/>
  <c r="F73" i="12"/>
  <c r="E73" i="12"/>
  <c r="D73" i="12"/>
  <c r="N68" i="12"/>
  <c r="M68" i="12"/>
  <c r="L68" i="12"/>
  <c r="K68" i="12"/>
  <c r="J68" i="12"/>
  <c r="I68" i="12"/>
  <c r="H68" i="12"/>
  <c r="G68" i="12"/>
  <c r="F68" i="12"/>
  <c r="E68" i="12"/>
  <c r="D68" i="12"/>
  <c r="N63" i="12"/>
  <c r="M63" i="12"/>
  <c r="L63" i="12"/>
  <c r="K63" i="12"/>
  <c r="J63" i="12"/>
  <c r="I63" i="12"/>
  <c r="H63" i="12"/>
  <c r="G63" i="12"/>
  <c r="F63" i="12"/>
  <c r="E63" i="12"/>
  <c r="D63" i="12"/>
  <c r="N58" i="12"/>
  <c r="M58" i="12"/>
  <c r="L58" i="12"/>
  <c r="K58" i="12"/>
  <c r="J58" i="12"/>
  <c r="I58" i="12"/>
  <c r="H58" i="12"/>
  <c r="G58" i="12"/>
  <c r="F58" i="12"/>
  <c r="E58" i="12"/>
  <c r="D58" i="12"/>
  <c r="N53" i="12"/>
  <c r="M53" i="12"/>
  <c r="L53" i="12"/>
  <c r="K53" i="12"/>
  <c r="J53" i="12"/>
  <c r="I53" i="12"/>
  <c r="H53" i="12"/>
  <c r="G53" i="12"/>
  <c r="F53" i="12"/>
  <c r="E53" i="12"/>
  <c r="D53" i="12"/>
  <c r="N48" i="12"/>
  <c r="M48" i="12"/>
  <c r="L48" i="12"/>
  <c r="K48" i="12"/>
  <c r="J48" i="12"/>
  <c r="I48" i="12"/>
  <c r="H48" i="12"/>
  <c r="G48" i="12"/>
  <c r="F48" i="12"/>
  <c r="E48" i="12"/>
  <c r="D48" i="12"/>
  <c r="N43" i="12"/>
  <c r="M43" i="12"/>
  <c r="L43" i="12"/>
  <c r="K43" i="12"/>
  <c r="J43" i="12"/>
  <c r="I43" i="12"/>
  <c r="H43" i="12"/>
  <c r="G43" i="12"/>
  <c r="F43" i="12"/>
  <c r="E43" i="12"/>
  <c r="D43" i="12"/>
  <c r="N38" i="12"/>
  <c r="M38" i="12"/>
  <c r="L38" i="12"/>
  <c r="K38" i="12"/>
  <c r="J38" i="12"/>
  <c r="I38" i="12"/>
  <c r="H38" i="12"/>
  <c r="G38" i="12"/>
  <c r="F38" i="12"/>
  <c r="E38" i="12"/>
  <c r="D38" i="12"/>
  <c r="N33" i="12"/>
  <c r="M33" i="12"/>
  <c r="L33" i="12"/>
  <c r="K33" i="12"/>
  <c r="J33" i="12"/>
  <c r="I33" i="12"/>
  <c r="H33" i="12"/>
  <c r="G33" i="12"/>
  <c r="F33" i="12"/>
  <c r="E33" i="12"/>
  <c r="D33" i="12"/>
  <c r="N28" i="12"/>
  <c r="M28" i="12"/>
  <c r="L28" i="12"/>
  <c r="K28" i="12"/>
  <c r="J28" i="12"/>
  <c r="I28" i="12"/>
  <c r="H28" i="12"/>
  <c r="G28" i="12"/>
  <c r="F28" i="12"/>
  <c r="E28" i="12"/>
  <c r="D28" i="12"/>
  <c r="C133" i="12"/>
  <c r="C128" i="12"/>
  <c r="C123" i="12"/>
  <c r="C118" i="12"/>
  <c r="C113" i="12"/>
  <c r="C108" i="12"/>
  <c r="C103" i="12"/>
  <c r="C98" i="12"/>
  <c r="C93" i="12"/>
  <c r="C88" i="12"/>
  <c r="C83" i="12"/>
  <c r="C78" i="12"/>
  <c r="C73" i="12"/>
  <c r="C68" i="12"/>
  <c r="C63" i="12"/>
  <c r="C58" i="12"/>
  <c r="C53" i="12"/>
  <c r="C48" i="12"/>
  <c r="C43" i="12"/>
  <c r="C38" i="12"/>
  <c r="C33" i="12"/>
  <c r="C28" i="12"/>
  <c r="O131" i="12"/>
  <c r="O126" i="12"/>
  <c r="O121" i="12"/>
  <c r="O116" i="12"/>
  <c r="O111" i="12"/>
  <c r="P107" i="12"/>
  <c r="P112" i="12" s="1"/>
  <c r="O106" i="12"/>
  <c r="O101" i="12"/>
  <c r="O96" i="12"/>
  <c r="P92" i="12"/>
  <c r="P97" i="12" s="1"/>
  <c r="O91" i="12"/>
  <c r="O86" i="12"/>
  <c r="O81" i="12"/>
  <c r="P77" i="12"/>
  <c r="P82" i="12" s="1"/>
  <c r="O76" i="12"/>
  <c r="O71" i="12"/>
  <c r="O66" i="12"/>
  <c r="P62" i="12"/>
  <c r="P67" i="12" s="1"/>
  <c r="O61" i="12"/>
  <c r="O56" i="12"/>
  <c r="O51" i="12"/>
  <c r="P47" i="12"/>
  <c r="P52" i="12" s="1"/>
  <c r="O46" i="12"/>
  <c r="O41" i="12"/>
  <c r="O36" i="12"/>
  <c r="P32" i="12"/>
  <c r="P37" i="12" s="1"/>
  <c r="O31" i="12"/>
  <c r="O26" i="12"/>
  <c r="O17" i="12"/>
  <c r="O12" i="12"/>
  <c r="O7" i="12"/>
  <c r="P13" i="12"/>
  <c r="P18" i="12" s="1"/>
  <c r="N19" i="12"/>
  <c r="M19" i="12"/>
  <c r="L19" i="12"/>
  <c r="K19" i="12"/>
  <c r="J19" i="12"/>
  <c r="I19" i="12"/>
  <c r="H19" i="12"/>
  <c r="G19" i="12"/>
  <c r="F19" i="12"/>
  <c r="E19" i="12"/>
  <c r="D19" i="12"/>
  <c r="N14" i="12"/>
  <c r="M14" i="12"/>
  <c r="L14" i="12"/>
  <c r="K14" i="12"/>
  <c r="J14" i="12"/>
  <c r="I14" i="12"/>
  <c r="H14" i="12"/>
  <c r="G14" i="12"/>
  <c r="F14" i="12"/>
  <c r="E14" i="12"/>
  <c r="D14" i="12"/>
  <c r="C19" i="12"/>
  <c r="C14" i="12"/>
  <c r="N9" i="12"/>
  <c r="M9" i="12"/>
  <c r="L9" i="12"/>
  <c r="K9" i="12"/>
  <c r="J9" i="12"/>
  <c r="I9" i="12"/>
  <c r="H9" i="12"/>
  <c r="G9" i="12"/>
  <c r="F9" i="12"/>
  <c r="E9" i="12"/>
  <c r="D9" i="12"/>
  <c r="C9" i="12"/>
  <c r="P132" i="12" l="1"/>
  <c r="H1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M25" i="6"/>
  <c r="L25" i="6"/>
  <c r="K25" i="6"/>
  <c r="J25" i="6"/>
  <c r="I25" i="6"/>
  <c r="H25" i="6"/>
  <c r="G25" i="6"/>
  <c r="F25" i="6"/>
  <c r="E25" i="6"/>
  <c r="D25" i="6"/>
  <c r="C25" i="6"/>
  <c r="B25" i="6"/>
  <c r="O76" i="6"/>
  <c r="N76" i="6"/>
  <c r="O75" i="6"/>
  <c r="N75" i="6"/>
  <c r="O74" i="6"/>
  <c r="N74" i="6"/>
  <c r="O73" i="6"/>
  <c r="N73" i="6"/>
  <c r="O72" i="6"/>
  <c r="N72" i="6"/>
  <c r="O71" i="6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  <c r="N25" i="6" s="1"/>
  <c r="O27" i="6"/>
  <c r="J49" i="6" s="1"/>
  <c r="O25" i="6" l="1"/>
  <c r="K126" i="24"/>
  <c r="K126" i="12"/>
  <c r="B30" i="6"/>
  <c r="K31" i="6"/>
  <c r="F33" i="6"/>
  <c r="F35" i="6"/>
  <c r="C37" i="6"/>
  <c r="J38" i="6"/>
  <c r="J40" i="6"/>
  <c r="G42" i="6"/>
  <c r="B44" i="6"/>
  <c r="F47" i="6"/>
  <c r="B29" i="6"/>
  <c r="G30" i="6"/>
  <c r="B32" i="6"/>
  <c r="B34" i="6"/>
  <c r="K35" i="6"/>
  <c r="F37" i="6"/>
  <c r="F39" i="6"/>
  <c r="C41" i="6"/>
  <c r="J42" i="6"/>
  <c r="J44" i="6"/>
  <c r="F48" i="6"/>
  <c r="C29" i="6"/>
  <c r="J30" i="6"/>
  <c r="J32" i="6"/>
  <c r="G34" i="6"/>
  <c r="B36" i="6"/>
  <c r="B38" i="6"/>
  <c r="K39" i="6"/>
  <c r="F41" i="6"/>
  <c r="F43" i="6"/>
  <c r="J45" i="6"/>
  <c r="J48" i="6"/>
  <c r="F29" i="6"/>
  <c r="F31" i="6"/>
  <c r="C33" i="6"/>
  <c r="J34" i="6"/>
  <c r="J36" i="6"/>
  <c r="G38" i="6"/>
  <c r="B40" i="6"/>
  <c r="B42" i="6"/>
  <c r="K43" i="6"/>
  <c r="B46" i="6"/>
  <c r="B50" i="6"/>
  <c r="K29" i="6"/>
  <c r="C31" i="6"/>
  <c r="G32" i="6"/>
  <c r="K33" i="6"/>
  <c r="C35" i="6"/>
  <c r="G36" i="6"/>
  <c r="K37" i="6"/>
  <c r="C39" i="6"/>
  <c r="G40" i="6"/>
  <c r="K41" i="6"/>
  <c r="C43" i="6"/>
  <c r="G44" i="6"/>
  <c r="B47" i="6"/>
  <c r="M50" i="6"/>
  <c r="I50" i="6"/>
  <c r="E50" i="6"/>
  <c r="M49" i="6"/>
  <c r="I49" i="6"/>
  <c r="E49" i="6"/>
  <c r="M48" i="6"/>
  <c r="I48" i="6"/>
  <c r="E48" i="6"/>
  <c r="M47" i="6"/>
  <c r="I47" i="6"/>
  <c r="E47" i="6"/>
  <c r="M46" i="6"/>
  <c r="I46" i="6"/>
  <c r="E46" i="6"/>
  <c r="M45" i="6"/>
  <c r="I45" i="6"/>
  <c r="E45" i="6"/>
  <c r="M44" i="6"/>
  <c r="I44" i="6"/>
  <c r="E44" i="6"/>
  <c r="M43" i="6"/>
  <c r="I43" i="6"/>
  <c r="E43" i="6"/>
  <c r="M42" i="6"/>
  <c r="I42" i="6"/>
  <c r="E42" i="6"/>
  <c r="M41" i="6"/>
  <c r="I41" i="6"/>
  <c r="E41" i="6"/>
  <c r="M40" i="6"/>
  <c r="I40" i="6"/>
  <c r="E40" i="6"/>
  <c r="M39" i="6"/>
  <c r="I39" i="6"/>
  <c r="E39" i="6"/>
  <c r="M38" i="6"/>
  <c r="I38" i="6"/>
  <c r="E38" i="6"/>
  <c r="M37" i="6"/>
  <c r="I37" i="6"/>
  <c r="E37" i="6"/>
  <c r="M36" i="6"/>
  <c r="I36" i="6"/>
  <c r="E36" i="6"/>
  <c r="M35" i="6"/>
  <c r="I35" i="6"/>
  <c r="E35" i="6"/>
  <c r="M34" i="6"/>
  <c r="I34" i="6"/>
  <c r="E34" i="6"/>
  <c r="M33" i="6"/>
  <c r="I33" i="6"/>
  <c r="E33" i="6"/>
  <c r="M32" i="6"/>
  <c r="I32" i="6"/>
  <c r="E32" i="6"/>
  <c r="M31" i="6"/>
  <c r="I31" i="6"/>
  <c r="E31" i="6"/>
  <c r="M30" i="6"/>
  <c r="I30" i="6"/>
  <c r="E30" i="6"/>
  <c r="M29" i="6"/>
  <c r="I29" i="6"/>
  <c r="E29" i="6"/>
  <c r="G50" i="6"/>
  <c r="K46" i="6"/>
  <c r="C46" i="6"/>
  <c r="G45" i="6"/>
  <c r="K44" i="6"/>
  <c r="L50" i="6"/>
  <c r="H50" i="6"/>
  <c r="D50" i="6"/>
  <c r="L49" i="6"/>
  <c r="H49" i="6"/>
  <c r="D49" i="6"/>
  <c r="L48" i="6"/>
  <c r="H48" i="6"/>
  <c r="D48" i="6"/>
  <c r="L47" i="6"/>
  <c r="H47" i="6"/>
  <c r="D47" i="6"/>
  <c r="L46" i="6"/>
  <c r="H46" i="6"/>
  <c r="D46" i="6"/>
  <c r="L45" i="6"/>
  <c r="H45" i="6"/>
  <c r="D45" i="6"/>
  <c r="L44" i="6"/>
  <c r="H44" i="6"/>
  <c r="D44" i="6"/>
  <c r="L43" i="6"/>
  <c r="H43" i="6"/>
  <c r="D43" i="6"/>
  <c r="L42" i="6"/>
  <c r="H42" i="6"/>
  <c r="D42" i="6"/>
  <c r="L41" i="6"/>
  <c r="H41" i="6"/>
  <c r="D41" i="6"/>
  <c r="L40" i="6"/>
  <c r="H40" i="6"/>
  <c r="D40" i="6"/>
  <c r="L39" i="6"/>
  <c r="H39" i="6"/>
  <c r="D39" i="6"/>
  <c r="L38" i="6"/>
  <c r="H38" i="6"/>
  <c r="D38" i="6"/>
  <c r="L37" i="6"/>
  <c r="H37" i="6"/>
  <c r="D37" i="6"/>
  <c r="L36" i="6"/>
  <c r="H36" i="6"/>
  <c r="D36" i="6"/>
  <c r="L35" i="6"/>
  <c r="H35" i="6"/>
  <c r="D35" i="6"/>
  <c r="L34" i="6"/>
  <c r="H34" i="6"/>
  <c r="D34" i="6"/>
  <c r="L33" i="6"/>
  <c r="H33" i="6"/>
  <c r="D33" i="6"/>
  <c r="L32" i="6"/>
  <c r="H32" i="6"/>
  <c r="D32" i="6"/>
  <c r="L31" i="6"/>
  <c r="H31" i="6"/>
  <c r="D31" i="6"/>
  <c r="L30" i="6"/>
  <c r="H30" i="6"/>
  <c r="D30" i="6"/>
  <c r="L29" i="6"/>
  <c r="H29" i="6"/>
  <c r="D29" i="6"/>
  <c r="K50" i="6"/>
  <c r="C50" i="6"/>
  <c r="K49" i="6"/>
  <c r="G49" i="6"/>
  <c r="C49" i="6"/>
  <c r="K48" i="6"/>
  <c r="G48" i="6"/>
  <c r="C48" i="6"/>
  <c r="K47" i="6"/>
  <c r="G47" i="6"/>
  <c r="C47" i="6"/>
  <c r="G46" i="6"/>
  <c r="K45" i="6"/>
  <c r="C45" i="6"/>
  <c r="G29" i="6"/>
  <c r="C30" i="6"/>
  <c r="K30" i="6"/>
  <c r="G31" i="6"/>
  <c r="C32" i="6"/>
  <c r="K32" i="6"/>
  <c r="G33" i="6"/>
  <c r="C34" i="6"/>
  <c r="K34" i="6"/>
  <c r="G35" i="6"/>
  <c r="C36" i="6"/>
  <c r="K36" i="6"/>
  <c r="G37" i="6"/>
  <c r="C38" i="6"/>
  <c r="K38" i="6"/>
  <c r="G39" i="6"/>
  <c r="C40" i="6"/>
  <c r="K40" i="6"/>
  <c r="G41" i="6"/>
  <c r="C42" i="6"/>
  <c r="K42" i="6"/>
  <c r="G43" i="6"/>
  <c r="C44" i="6"/>
  <c r="B45" i="6"/>
  <c r="F46" i="6"/>
  <c r="J47" i="6"/>
  <c r="B49" i="6"/>
  <c r="F50" i="6"/>
  <c r="J29" i="6"/>
  <c r="F30" i="6"/>
  <c r="B31" i="6"/>
  <c r="J31" i="6"/>
  <c r="F32" i="6"/>
  <c r="B33" i="6"/>
  <c r="J33" i="6"/>
  <c r="F34" i="6"/>
  <c r="B35" i="6"/>
  <c r="J35" i="6"/>
  <c r="F36" i="6"/>
  <c r="B37" i="6"/>
  <c r="J37" i="6"/>
  <c r="F38" i="6"/>
  <c r="B39" i="6"/>
  <c r="J39" i="6"/>
  <c r="F40" i="6"/>
  <c r="B41" i="6"/>
  <c r="J41" i="6"/>
  <c r="F42" i="6"/>
  <c r="B43" i="6"/>
  <c r="J43" i="6"/>
  <c r="F44" i="6"/>
  <c r="F45" i="6"/>
  <c r="J46" i="6"/>
  <c r="B48" i="6"/>
  <c r="F49" i="6"/>
  <c r="J50" i="6"/>
  <c r="G101" i="24" l="1"/>
  <c r="G101" i="12"/>
  <c r="C76" i="24"/>
  <c r="C76" i="12"/>
  <c r="K46" i="24"/>
  <c r="K7" i="12"/>
  <c r="K46" i="12"/>
  <c r="C36" i="12"/>
  <c r="D101" i="24"/>
  <c r="D101" i="12"/>
  <c r="H86" i="24"/>
  <c r="H86" i="12"/>
  <c r="D61" i="24"/>
  <c r="D61" i="12"/>
  <c r="L31" i="12"/>
  <c r="D126" i="12"/>
  <c r="D126" i="24"/>
  <c r="I36" i="12"/>
  <c r="E51" i="24"/>
  <c r="E12" i="12"/>
  <c r="E51" i="12"/>
  <c r="M61" i="24"/>
  <c r="M61" i="12"/>
  <c r="I76" i="24"/>
  <c r="I76" i="12"/>
  <c r="E91" i="24"/>
  <c r="E91" i="12"/>
  <c r="M101" i="24"/>
  <c r="M101" i="12"/>
  <c r="I116" i="24"/>
  <c r="I116" i="12"/>
  <c r="E131" i="24"/>
  <c r="E131" i="12"/>
  <c r="H106" i="24"/>
  <c r="H106" i="12"/>
  <c r="J31" i="12"/>
  <c r="F46" i="24"/>
  <c r="F7" i="12"/>
  <c r="F46" i="12"/>
  <c r="N56" i="24"/>
  <c r="N56" i="12"/>
  <c r="N17" i="12"/>
  <c r="J71" i="24"/>
  <c r="J71" i="12"/>
  <c r="J91" i="24"/>
  <c r="J91" i="12"/>
  <c r="J111" i="24"/>
  <c r="J111" i="12"/>
  <c r="F126" i="24"/>
  <c r="F126" i="12"/>
  <c r="L66" i="24"/>
  <c r="L66" i="12"/>
  <c r="C111" i="24"/>
  <c r="C111" i="12"/>
  <c r="G36" i="12"/>
  <c r="C61" i="24"/>
  <c r="C61" i="12"/>
  <c r="C51" i="6"/>
  <c r="C6" i="7" s="1"/>
  <c r="D26" i="12"/>
  <c r="C51" i="24"/>
  <c r="C12" i="12"/>
  <c r="C51" i="12"/>
  <c r="L36" i="12"/>
  <c r="C121" i="24"/>
  <c r="C121" i="12"/>
  <c r="C86" i="24"/>
  <c r="C86" i="12"/>
  <c r="K56" i="24"/>
  <c r="K56" i="12"/>
  <c r="K17" i="12"/>
  <c r="G31" i="12"/>
  <c r="H96" i="24"/>
  <c r="H96" i="12"/>
  <c r="D71" i="24"/>
  <c r="D71" i="12"/>
  <c r="L41" i="24"/>
  <c r="L41" i="12"/>
  <c r="H111" i="24"/>
  <c r="H111" i="12"/>
  <c r="E26" i="12"/>
  <c r="D51" i="6"/>
  <c r="D6" i="7" s="1"/>
  <c r="M36" i="12"/>
  <c r="I51" i="24"/>
  <c r="I12" i="12"/>
  <c r="I51" i="12"/>
  <c r="E66" i="24"/>
  <c r="E66" i="12"/>
  <c r="M76" i="24"/>
  <c r="M76" i="12"/>
  <c r="I91" i="24"/>
  <c r="I91" i="12"/>
  <c r="E106" i="24"/>
  <c r="E106" i="12"/>
  <c r="E126" i="12"/>
  <c r="E126" i="24"/>
  <c r="D111" i="24"/>
  <c r="D111" i="12"/>
  <c r="N31" i="12"/>
  <c r="J46" i="24"/>
  <c r="J7" i="12"/>
  <c r="J46" i="12"/>
  <c r="F61" i="24"/>
  <c r="F61" i="12"/>
  <c r="N71" i="24"/>
  <c r="N71" i="12"/>
  <c r="J86" i="24"/>
  <c r="J86" i="12"/>
  <c r="J106" i="24"/>
  <c r="J106" i="12"/>
  <c r="J126" i="24"/>
  <c r="J126" i="12"/>
  <c r="L86" i="24"/>
  <c r="L86" i="12"/>
  <c r="L96" i="24"/>
  <c r="L96" i="12"/>
  <c r="G86" i="24"/>
  <c r="G86" i="12"/>
  <c r="G76" i="24"/>
  <c r="G76" i="12"/>
  <c r="C101" i="24"/>
  <c r="C101" i="12"/>
  <c r="K111" i="24"/>
  <c r="K111" i="12"/>
  <c r="C96" i="24"/>
  <c r="C96" i="12"/>
  <c r="G81" i="24"/>
  <c r="G81" i="12"/>
  <c r="K66" i="24"/>
  <c r="K66" i="12"/>
  <c r="C56" i="24"/>
  <c r="C56" i="12"/>
  <c r="C17" i="12"/>
  <c r="G41" i="24"/>
  <c r="G41" i="12"/>
  <c r="K26" i="12"/>
  <c r="J51" i="6"/>
  <c r="J6" i="7" s="1"/>
  <c r="G111" i="24"/>
  <c r="G111" i="12"/>
  <c r="L91" i="24"/>
  <c r="L91" i="12"/>
  <c r="D81" i="24"/>
  <c r="D81" i="12"/>
  <c r="H66" i="24"/>
  <c r="H66" i="12"/>
  <c r="L51" i="24"/>
  <c r="L51" i="12"/>
  <c r="L12" i="12"/>
  <c r="D41" i="24"/>
  <c r="D41" i="12"/>
  <c r="H26" i="12"/>
  <c r="G51" i="6"/>
  <c r="G6" i="7" s="1"/>
  <c r="D116" i="24"/>
  <c r="D116" i="12"/>
  <c r="H121" i="24"/>
  <c r="H121" i="12"/>
  <c r="L126" i="24"/>
  <c r="L126" i="12"/>
  <c r="H51" i="6"/>
  <c r="H6" i="7" s="1"/>
  <c r="I26" i="12"/>
  <c r="M31" i="12"/>
  <c r="E41" i="24"/>
  <c r="E41" i="12"/>
  <c r="I46" i="24"/>
  <c r="I46" i="12"/>
  <c r="I7" i="12"/>
  <c r="M51" i="24"/>
  <c r="M12" i="12"/>
  <c r="M51" i="12"/>
  <c r="E61" i="24"/>
  <c r="E61" i="12"/>
  <c r="I66" i="24"/>
  <c r="I66" i="12"/>
  <c r="M71" i="24"/>
  <c r="M71" i="12"/>
  <c r="E81" i="24"/>
  <c r="E81" i="12"/>
  <c r="I86" i="24"/>
  <c r="I86" i="12"/>
  <c r="M91" i="24"/>
  <c r="M91" i="12"/>
  <c r="E101" i="24"/>
  <c r="E101" i="12"/>
  <c r="I106" i="24"/>
  <c r="I106" i="12"/>
  <c r="M111" i="24"/>
  <c r="M111" i="12"/>
  <c r="E121" i="24"/>
  <c r="E121" i="12"/>
  <c r="I126" i="12"/>
  <c r="I126" i="24"/>
  <c r="M131" i="24"/>
  <c r="M131" i="12"/>
  <c r="L111" i="24"/>
  <c r="L111" i="12"/>
  <c r="N26" i="12"/>
  <c r="M51" i="6"/>
  <c r="M6" i="7" s="1"/>
  <c r="F36" i="12"/>
  <c r="J41" i="24"/>
  <c r="J41" i="12"/>
  <c r="N46" i="24"/>
  <c r="N7" i="12"/>
  <c r="N46" i="12"/>
  <c r="F56" i="24"/>
  <c r="F56" i="12"/>
  <c r="F17" i="12"/>
  <c r="J61" i="24"/>
  <c r="J61" i="12"/>
  <c r="N66" i="24"/>
  <c r="N66" i="12"/>
  <c r="F76" i="24"/>
  <c r="F76" i="12"/>
  <c r="J81" i="24"/>
  <c r="J81" i="12"/>
  <c r="N86" i="24"/>
  <c r="N86" i="12"/>
  <c r="F96" i="24"/>
  <c r="F96" i="12"/>
  <c r="J101" i="24"/>
  <c r="J101" i="12"/>
  <c r="N106" i="24"/>
  <c r="N106" i="12"/>
  <c r="F116" i="24"/>
  <c r="F116" i="12"/>
  <c r="J121" i="12"/>
  <c r="J121" i="24"/>
  <c r="N126" i="24"/>
  <c r="N126" i="12"/>
  <c r="C116" i="24"/>
  <c r="C116" i="12"/>
  <c r="H81" i="24"/>
  <c r="H81" i="12"/>
  <c r="D56" i="24"/>
  <c r="D56" i="12"/>
  <c r="D17" i="12"/>
  <c r="L26" i="12"/>
  <c r="K51" i="6"/>
  <c r="K6" i="7" s="1"/>
  <c r="C91" i="24"/>
  <c r="C91" i="12"/>
  <c r="K51" i="24"/>
  <c r="K12" i="12"/>
  <c r="K51" i="12"/>
  <c r="K121" i="24"/>
  <c r="K121" i="12"/>
  <c r="L76" i="24"/>
  <c r="L76" i="12"/>
  <c r="K41" i="24"/>
  <c r="K41" i="12"/>
  <c r="K101" i="24"/>
  <c r="K101" i="12"/>
  <c r="G66" i="24"/>
  <c r="G66" i="12"/>
  <c r="H31" i="12"/>
  <c r="H91" i="24"/>
  <c r="H91" i="12"/>
  <c r="G56" i="24"/>
  <c r="G56" i="12"/>
  <c r="G17" i="12"/>
  <c r="G126" i="24"/>
  <c r="G126" i="12"/>
  <c r="K86" i="24"/>
  <c r="K86" i="12"/>
  <c r="G61" i="24"/>
  <c r="G61" i="12"/>
  <c r="C126" i="24"/>
  <c r="C126" i="12"/>
  <c r="L71" i="24"/>
  <c r="L71" i="12"/>
  <c r="H46" i="24"/>
  <c r="H46" i="12"/>
  <c r="H7" i="12"/>
  <c r="L106" i="24"/>
  <c r="L106" i="12"/>
  <c r="L116" i="24"/>
  <c r="L116" i="12"/>
  <c r="L131" i="12"/>
  <c r="L131" i="24"/>
  <c r="E31" i="12"/>
  <c r="M41" i="24"/>
  <c r="M41" i="12"/>
  <c r="I56" i="24"/>
  <c r="I56" i="12"/>
  <c r="I17" i="12"/>
  <c r="E71" i="24"/>
  <c r="E71" i="12"/>
  <c r="M81" i="24"/>
  <c r="M81" i="12"/>
  <c r="I96" i="24"/>
  <c r="I96" i="12"/>
  <c r="E111" i="24"/>
  <c r="E111" i="12"/>
  <c r="M121" i="24"/>
  <c r="M121" i="12"/>
  <c r="F26" i="12"/>
  <c r="E51" i="6"/>
  <c r="E6" i="7" s="1"/>
  <c r="N36" i="12"/>
  <c r="J51" i="24"/>
  <c r="J12" i="12"/>
  <c r="J51" i="12"/>
  <c r="F66" i="24"/>
  <c r="F66" i="12"/>
  <c r="N76" i="24"/>
  <c r="N76" i="12"/>
  <c r="F86" i="24"/>
  <c r="F86" i="12"/>
  <c r="N96" i="24"/>
  <c r="N96" i="12"/>
  <c r="F106" i="24"/>
  <c r="F106" i="12"/>
  <c r="N116" i="24"/>
  <c r="N116" i="12"/>
  <c r="J131" i="24"/>
  <c r="J131" i="12"/>
  <c r="D96" i="24"/>
  <c r="D96" i="12"/>
  <c r="H41" i="24"/>
  <c r="H41" i="12"/>
  <c r="H71" i="24"/>
  <c r="H71" i="12"/>
  <c r="G96" i="24"/>
  <c r="G96" i="12"/>
  <c r="D86" i="24"/>
  <c r="D86" i="12"/>
  <c r="G116" i="24"/>
  <c r="G116" i="12"/>
  <c r="K71" i="24"/>
  <c r="K71" i="12"/>
  <c r="K96" i="24"/>
  <c r="K96" i="12"/>
  <c r="G71" i="24"/>
  <c r="G71" i="12"/>
  <c r="C46" i="24"/>
  <c r="C7" i="12"/>
  <c r="C46" i="12"/>
  <c r="K116" i="24"/>
  <c r="K116" i="12"/>
  <c r="L81" i="24"/>
  <c r="L81" i="12"/>
  <c r="H56" i="24"/>
  <c r="H56" i="12"/>
  <c r="H17" i="12"/>
  <c r="D31" i="12"/>
  <c r="D121" i="12"/>
  <c r="D121" i="24"/>
  <c r="H126" i="24"/>
  <c r="H126" i="12"/>
  <c r="I31" i="12"/>
  <c r="E46" i="24"/>
  <c r="E46" i="12"/>
  <c r="E7" i="12"/>
  <c r="M56" i="24"/>
  <c r="M56" i="12"/>
  <c r="M17" i="12"/>
  <c r="I71" i="24"/>
  <c r="I71" i="12"/>
  <c r="E86" i="24"/>
  <c r="E86" i="12"/>
  <c r="M96" i="24"/>
  <c r="M96" i="12"/>
  <c r="I111" i="24"/>
  <c r="I111" i="12"/>
  <c r="M116" i="24"/>
  <c r="M116" i="12"/>
  <c r="I131" i="24"/>
  <c r="I131" i="12"/>
  <c r="J26" i="12"/>
  <c r="I51" i="6"/>
  <c r="I6" i="7" s="1"/>
  <c r="F41" i="24"/>
  <c r="F41" i="12"/>
  <c r="N51" i="24"/>
  <c r="N12" i="12"/>
  <c r="N51" i="12"/>
  <c r="J66" i="24"/>
  <c r="J66" i="12"/>
  <c r="F81" i="24"/>
  <c r="F81" i="12"/>
  <c r="N91" i="24"/>
  <c r="N91" i="12"/>
  <c r="F101" i="24"/>
  <c r="F101" i="12"/>
  <c r="N111" i="24"/>
  <c r="N111" i="12"/>
  <c r="F121" i="24"/>
  <c r="F121" i="12"/>
  <c r="N131" i="24"/>
  <c r="N131" i="12"/>
  <c r="H61" i="24"/>
  <c r="H61" i="12"/>
  <c r="D36" i="12"/>
  <c r="K61" i="24"/>
  <c r="K61" i="12"/>
  <c r="G26" i="12"/>
  <c r="F51" i="6"/>
  <c r="F6" i="7" s="1"/>
  <c r="H51" i="24"/>
  <c r="H51" i="12"/>
  <c r="H12" i="12"/>
  <c r="G121" i="12"/>
  <c r="G121" i="24"/>
  <c r="C41" i="24"/>
  <c r="C41" i="12"/>
  <c r="D66" i="24"/>
  <c r="D66" i="12"/>
  <c r="C31" i="12"/>
  <c r="K131" i="24"/>
  <c r="K131" i="12"/>
  <c r="G106" i="24"/>
  <c r="G106" i="12"/>
  <c r="G91" i="24"/>
  <c r="G91" i="12"/>
  <c r="K76" i="24"/>
  <c r="K76" i="12"/>
  <c r="C66" i="24"/>
  <c r="C66" i="12"/>
  <c r="G51" i="24"/>
  <c r="G12" i="12"/>
  <c r="G51" i="12"/>
  <c r="K36" i="12"/>
  <c r="G131" i="12"/>
  <c r="G131" i="24"/>
  <c r="C106" i="24"/>
  <c r="C106" i="12"/>
  <c r="D91" i="24"/>
  <c r="D91" i="12"/>
  <c r="H76" i="24"/>
  <c r="H76" i="12"/>
  <c r="L61" i="24"/>
  <c r="L61" i="12"/>
  <c r="D51" i="24"/>
  <c r="D51" i="12"/>
  <c r="D12" i="12"/>
  <c r="H36" i="12"/>
  <c r="D106" i="24"/>
  <c r="D106" i="12"/>
  <c r="H116" i="24"/>
  <c r="H116" i="12"/>
  <c r="L121" i="24"/>
  <c r="L121" i="12"/>
  <c r="D131" i="12"/>
  <c r="D131" i="24"/>
  <c r="M26" i="12"/>
  <c r="L51" i="6"/>
  <c r="L6" i="7" s="1"/>
  <c r="E36" i="12"/>
  <c r="I41" i="24"/>
  <c r="I41" i="12"/>
  <c r="M46" i="24"/>
  <c r="M46" i="12"/>
  <c r="M7" i="12"/>
  <c r="E56" i="24"/>
  <c r="E56" i="12"/>
  <c r="E17" i="12"/>
  <c r="I61" i="24"/>
  <c r="I61" i="12"/>
  <c r="M66" i="24"/>
  <c r="M66" i="12"/>
  <c r="E76" i="24"/>
  <c r="E76" i="12"/>
  <c r="I81" i="24"/>
  <c r="I81" i="12"/>
  <c r="M86" i="24"/>
  <c r="M86" i="12"/>
  <c r="E96" i="24"/>
  <c r="E96" i="12"/>
  <c r="I101" i="24"/>
  <c r="I101" i="12"/>
  <c r="M106" i="24"/>
  <c r="M106" i="12"/>
  <c r="E116" i="24"/>
  <c r="E116" i="12"/>
  <c r="I121" i="24"/>
  <c r="I121" i="12"/>
  <c r="M126" i="24"/>
  <c r="M126" i="12"/>
  <c r="L101" i="24"/>
  <c r="L101" i="12"/>
  <c r="H131" i="24"/>
  <c r="H131" i="12"/>
  <c r="F31" i="12"/>
  <c r="J36" i="12"/>
  <c r="N41" i="24"/>
  <c r="N41" i="12"/>
  <c r="F51" i="24"/>
  <c r="F12" i="12"/>
  <c r="F51" i="12"/>
  <c r="J56" i="24"/>
  <c r="J56" i="12"/>
  <c r="J17" i="12"/>
  <c r="N61" i="24"/>
  <c r="N61" i="12"/>
  <c r="F71" i="24"/>
  <c r="F71" i="12"/>
  <c r="J76" i="24"/>
  <c r="J76" i="12"/>
  <c r="N81" i="24"/>
  <c r="N81" i="12"/>
  <c r="F91" i="24"/>
  <c r="F91" i="12"/>
  <c r="J96" i="24"/>
  <c r="J96" i="12"/>
  <c r="N101" i="24"/>
  <c r="N101" i="12"/>
  <c r="F111" i="24"/>
  <c r="F111" i="12"/>
  <c r="J116" i="24"/>
  <c r="J116" i="12"/>
  <c r="N121" i="12"/>
  <c r="N121" i="24"/>
  <c r="F131" i="24"/>
  <c r="F131" i="12"/>
  <c r="H101" i="24"/>
  <c r="H101" i="12"/>
  <c r="D76" i="24"/>
  <c r="D76" i="12"/>
  <c r="L46" i="24"/>
  <c r="L46" i="12"/>
  <c r="L7" i="12"/>
  <c r="C131" i="24"/>
  <c r="C131" i="12"/>
  <c r="C81" i="24"/>
  <c r="C81" i="12"/>
  <c r="D46" i="24"/>
  <c r="D46" i="12"/>
  <c r="D7" i="12"/>
  <c r="K106" i="24"/>
  <c r="K106" i="12"/>
  <c r="C71" i="24"/>
  <c r="C71" i="12"/>
  <c r="K31" i="12"/>
  <c r="K91" i="24"/>
  <c r="K91" i="12"/>
  <c r="L56" i="24"/>
  <c r="L56" i="12"/>
  <c r="L17" i="12"/>
  <c r="C26" i="12"/>
  <c r="B51" i="6"/>
  <c r="B6" i="7" s="1"/>
  <c r="K81" i="24"/>
  <c r="K81" i="12"/>
  <c r="G46" i="24"/>
  <c r="G7" i="12"/>
  <c r="G46" i="12"/>
  <c r="O42" i="6"/>
  <c r="O29" i="6"/>
  <c r="N33" i="6"/>
  <c r="O50" i="6"/>
  <c r="O43" i="6"/>
  <c r="N35" i="6"/>
  <c r="N38" i="6"/>
  <c r="N30" i="6"/>
  <c r="O46" i="6"/>
  <c r="N36" i="6"/>
  <c r="N34" i="6"/>
  <c r="N31" i="6"/>
  <c r="O30" i="6"/>
  <c r="N32" i="6"/>
  <c r="O47" i="6"/>
  <c r="N37" i="6"/>
  <c r="N48" i="6"/>
  <c r="O37" i="6"/>
  <c r="O34" i="6"/>
  <c r="N40" i="6"/>
  <c r="O31" i="6"/>
  <c r="O35" i="6"/>
  <c r="N47" i="6"/>
  <c r="O32" i="6"/>
  <c r="O39" i="6"/>
  <c r="O38" i="6"/>
  <c r="N43" i="6"/>
  <c r="O45" i="6"/>
  <c r="N42" i="6"/>
  <c r="N45" i="6"/>
  <c r="N50" i="6"/>
  <c r="N46" i="6"/>
  <c r="O48" i="6"/>
  <c r="O41" i="6"/>
  <c r="N41" i="6"/>
  <c r="O49" i="6"/>
  <c r="N44" i="6"/>
  <c r="O44" i="6"/>
  <c r="O36" i="6"/>
  <c r="N29" i="6"/>
  <c r="O33" i="6"/>
  <c r="N49" i="6"/>
  <c r="N39" i="6"/>
  <c r="O40" i="6"/>
  <c r="C146" i="24" l="1"/>
  <c r="C146" i="12"/>
  <c r="G146" i="24"/>
  <c r="G146" i="12"/>
  <c r="M146" i="24"/>
  <c r="M146" i="12"/>
  <c r="J146" i="24"/>
  <c r="J146" i="12"/>
  <c r="F146" i="24"/>
  <c r="F146" i="12"/>
  <c r="I146" i="24"/>
  <c r="I146" i="12"/>
  <c r="H146" i="24"/>
  <c r="H146" i="12"/>
  <c r="N146" i="24"/>
  <c r="N146" i="12"/>
  <c r="E146" i="24"/>
  <c r="E146" i="12"/>
  <c r="D146" i="24"/>
  <c r="D146" i="12"/>
  <c r="N51" i="6"/>
  <c r="O51" i="6"/>
  <c r="L146" i="24"/>
  <c r="L146" i="12"/>
  <c r="K146" i="24"/>
  <c r="K146" i="12"/>
  <c r="E1" i="12"/>
  <c r="M19" i="8"/>
  <c r="L19" i="8"/>
  <c r="K19" i="8"/>
  <c r="J19" i="8"/>
  <c r="I19" i="8"/>
  <c r="H19" i="8"/>
  <c r="G19" i="8"/>
  <c r="F19" i="8"/>
  <c r="E19" i="8"/>
  <c r="D19" i="8"/>
  <c r="C19" i="8"/>
  <c r="B19" i="8"/>
  <c r="M17" i="8"/>
  <c r="L17" i="8"/>
  <c r="K17" i="8"/>
  <c r="J17" i="8"/>
  <c r="I17" i="8"/>
  <c r="H17" i="8"/>
  <c r="G17" i="8"/>
  <c r="F17" i="8"/>
  <c r="E17" i="8"/>
  <c r="D17" i="8"/>
  <c r="C17" i="8"/>
  <c r="B17" i="8"/>
  <c r="J34" i="12" l="1"/>
  <c r="J99" i="12"/>
  <c r="J119" i="24"/>
  <c r="J74" i="12"/>
  <c r="J44" i="12"/>
  <c r="J104" i="24"/>
  <c r="J29" i="12"/>
  <c r="J10" i="12"/>
  <c r="J114" i="12"/>
  <c r="J15" i="12"/>
  <c r="J59" i="12"/>
  <c r="J94" i="12"/>
  <c r="J119" i="12"/>
  <c r="J49" i="12"/>
  <c r="J44" i="24"/>
  <c r="J20" i="12"/>
  <c r="J39" i="12"/>
  <c r="J89" i="12"/>
  <c r="J54" i="12"/>
  <c r="J74" i="24"/>
  <c r="J104" i="12"/>
  <c r="J89" i="24"/>
  <c r="J109" i="12"/>
  <c r="J99" i="24"/>
  <c r="J79" i="12"/>
  <c r="J64" i="12"/>
  <c r="J84" i="12"/>
  <c r="J84" i="24"/>
  <c r="J114" i="24"/>
  <c r="J79" i="24"/>
  <c r="J109" i="24"/>
  <c r="J69" i="12"/>
  <c r="J59" i="24"/>
  <c r="J69" i="24"/>
  <c r="J94" i="24"/>
  <c r="J64" i="24"/>
  <c r="J49" i="24"/>
  <c r="J54" i="24"/>
  <c r="N79" i="12"/>
  <c r="N99" i="12"/>
  <c r="N15" i="12"/>
  <c r="N69" i="12"/>
  <c r="N89" i="24"/>
  <c r="N74" i="12"/>
  <c r="N79" i="24"/>
  <c r="N54" i="12"/>
  <c r="N44" i="12"/>
  <c r="N104" i="24"/>
  <c r="N29" i="12"/>
  <c r="N10" i="12"/>
  <c r="N119" i="24"/>
  <c r="N94" i="24"/>
  <c r="N34" i="12"/>
  <c r="N59" i="12"/>
  <c r="N94" i="12"/>
  <c r="N20" i="12"/>
  <c r="N39" i="12"/>
  <c r="N59" i="24"/>
  <c r="N119" i="12"/>
  <c r="N74" i="24"/>
  <c r="N49" i="24"/>
  <c r="N114" i="24"/>
  <c r="N104" i="12"/>
  <c r="N84" i="24"/>
  <c r="N64" i="24"/>
  <c r="N49" i="12"/>
  <c r="N44" i="24"/>
  <c r="N89" i="12"/>
  <c r="N114" i="12"/>
  <c r="N109" i="12"/>
  <c r="N69" i="24"/>
  <c r="N64" i="12"/>
  <c r="N84" i="12"/>
  <c r="N109" i="24"/>
  <c r="N99" i="24"/>
  <c r="N54" i="24"/>
  <c r="F124" i="24"/>
  <c r="F124" i="12"/>
  <c r="F129" i="12"/>
  <c r="F129" i="24"/>
  <c r="F134" i="24"/>
  <c r="F134" i="12"/>
  <c r="J124" i="24"/>
  <c r="J124" i="12"/>
  <c r="J129" i="12"/>
  <c r="J129" i="24"/>
  <c r="J134" i="12"/>
  <c r="J134" i="24"/>
  <c r="C29" i="12"/>
  <c r="C10" i="12"/>
  <c r="C79" i="12"/>
  <c r="C54" i="12"/>
  <c r="C104" i="12"/>
  <c r="C69" i="12"/>
  <c r="C64" i="24"/>
  <c r="C119" i="24"/>
  <c r="C99" i="12"/>
  <c r="C44" i="12"/>
  <c r="C89" i="12"/>
  <c r="C34" i="12"/>
  <c r="C39" i="12"/>
  <c r="C119" i="12"/>
  <c r="C109" i="24"/>
  <c r="C64" i="12"/>
  <c r="C74" i="12"/>
  <c r="C109" i="12"/>
  <c r="C114" i="12"/>
  <c r="C20" i="12"/>
  <c r="C44" i="24"/>
  <c r="C74" i="24"/>
  <c r="C15" i="12"/>
  <c r="C49" i="12"/>
  <c r="C104" i="24"/>
  <c r="C59" i="12"/>
  <c r="C94" i="12"/>
  <c r="C79" i="24"/>
  <c r="C94" i="24"/>
  <c r="C59" i="24"/>
  <c r="C89" i="24"/>
  <c r="C49" i="24"/>
  <c r="C99" i="24"/>
  <c r="C84" i="12"/>
  <c r="C69" i="24"/>
  <c r="C114" i="24"/>
  <c r="C84" i="24"/>
  <c r="C54" i="24"/>
  <c r="G84" i="12"/>
  <c r="G15" i="12"/>
  <c r="G54" i="12"/>
  <c r="G59" i="12"/>
  <c r="G44" i="12"/>
  <c r="G79" i="24"/>
  <c r="G69" i="12"/>
  <c r="G104" i="12"/>
  <c r="G34" i="12"/>
  <c r="G20" i="12"/>
  <c r="G64" i="12"/>
  <c r="G74" i="12"/>
  <c r="G79" i="12"/>
  <c r="G49" i="12"/>
  <c r="G10" i="12"/>
  <c r="G89" i="12"/>
  <c r="G109" i="24"/>
  <c r="G44" i="24"/>
  <c r="G64" i="24"/>
  <c r="G94" i="12"/>
  <c r="G74" i="24"/>
  <c r="G104" i="24"/>
  <c r="G109" i="12"/>
  <c r="G69" i="24"/>
  <c r="G29" i="12"/>
  <c r="G39" i="12"/>
  <c r="G99" i="12"/>
  <c r="G119" i="12"/>
  <c r="G94" i="24"/>
  <c r="G119" i="24"/>
  <c r="G114" i="12"/>
  <c r="G59" i="24"/>
  <c r="G89" i="24"/>
  <c r="G49" i="24"/>
  <c r="G84" i="24"/>
  <c r="G99" i="24"/>
  <c r="G114" i="24"/>
  <c r="G54" i="24"/>
  <c r="K59" i="12"/>
  <c r="K29" i="12"/>
  <c r="K109" i="24"/>
  <c r="K99" i="12"/>
  <c r="K44" i="24"/>
  <c r="K89" i="12"/>
  <c r="K64" i="12"/>
  <c r="K15" i="12"/>
  <c r="K54" i="12"/>
  <c r="K10" i="12"/>
  <c r="K84" i="12"/>
  <c r="K104" i="12"/>
  <c r="K44" i="12"/>
  <c r="K34" i="12"/>
  <c r="K74" i="12"/>
  <c r="K119" i="12"/>
  <c r="K94" i="24"/>
  <c r="K119" i="24"/>
  <c r="K69" i="12"/>
  <c r="K114" i="12"/>
  <c r="K59" i="24"/>
  <c r="K89" i="24"/>
  <c r="K49" i="24"/>
  <c r="K79" i="12"/>
  <c r="K20" i="12"/>
  <c r="K64" i="24"/>
  <c r="K94" i="12"/>
  <c r="K74" i="24"/>
  <c r="K39" i="12"/>
  <c r="K49" i="12"/>
  <c r="K79" i="24"/>
  <c r="K104" i="24"/>
  <c r="K109" i="12"/>
  <c r="K84" i="24"/>
  <c r="K114" i="24"/>
  <c r="K99" i="24"/>
  <c r="K69" i="24"/>
  <c r="K54" i="24"/>
  <c r="C129" i="24"/>
  <c r="C124" i="12"/>
  <c r="C124" i="24"/>
  <c r="C129" i="12"/>
  <c r="C134" i="12"/>
  <c r="C134" i="24"/>
  <c r="G124" i="12"/>
  <c r="G129" i="24"/>
  <c r="G124" i="24"/>
  <c r="G129" i="12"/>
  <c r="G134" i="24"/>
  <c r="G134" i="12"/>
  <c r="K124" i="12"/>
  <c r="K129" i="24"/>
  <c r="K124" i="24"/>
  <c r="K129" i="12"/>
  <c r="K134" i="12"/>
  <c r="K134" i="24"/>
  <c r="D10" i="12"/>
  <c r="D84" i="12"/>
  <c r="D54" i="12"/>
  <c r="D49" i="24"/>
  <c r="D109" i="24"/>
  <c r="D44" i="12"/>
  <c r="D89" i="12"/>
  <c r="D64" i="12"/>
  <c r="D15" i="12"/>
  <c r="D34" i="12"/>
  <c r="D104" i="12"/>
  <c r="D109" i="12"/>
  <c r="D20" i="12"/>
  <c r="D59" i="12"/>
  <c r="D29" i="12"/>
  <c r="D69" i="12"/>
  <c r="D49" i="12"/>
  <c r="D39" i="12"/>
  <c r="D79" i="12"/>
  <c r="D114" i="12"/>
  <c r="D74" i="12"/>
  <c r="D119" i="12"/>
  <c r="D64" i="24"/>
  <c r="D94" i="24"/>
  <c r="D59" i="24"/>
  <c r="D44" i="24"/>
  <c r="D104" i="24"/>
  <c r="D119" i="24"/>
  <c r="D89" i="24"/>
  <c r="D114" i="24"/>
  <c r="D94" i="12"/>
  <c r="D99" i="12"/>
  <c r="D79" i="24"/>
  <c r="D74" i="24"/>
  <c r="D84" i="24"/>
  <c r="D99" i="24"/>
  <c r="D69" i="24"/>
  <c r="D54" i="24"/>
  <c r="H89" i="12"/>
  <c r="H39" i="12"/>
  <c r="H44" i="12"/>
  <c r="H94" i="12"/>
  <c r="H79" i="12"/>
  <c r="H99" i="12"/>
  <c r="H10" i="12"/>
  <c r="H84" i="12"/>
  <c r="H54" i="12"/>
  <c r="H49" i="24"/>
  <c r="H64" i="12"/>
  <c r="H69" i="12"/>
  <c r="H109" i="12"/>
  <c r="H15" i="12"/>
  <c r="H34" i="12"/>
  <c r="H104" i="12"/>
  <c r="H29" i="12"/>
  <c r="H109" i="24"/>
  <c r="H79" i="24"/>
  <c r="H74" i="24"/>
  <c r="H20" i="12"/>
  <c r="H49" i="12"/>
  <c r="H114" i="12"/>
  <c r="H74" i="12"/>
  <c r="H119" i="12"/>
  <c r="H64" i="24"/>
  <c r="H94" i="24"/>
  <c r="H59" i="24"/>
  <c r="H69" i="24"/>
  <c r="H99" i="24"/>
  <c r="H59" i="12"/>
  <c r="H44" i="24"/>
  <c r="H104" i="24"/>
  <c r="H119" i="24"/>
  <c r="H89" i="24"/>
  <c r="H84" i="24"/>
  <c r="H114" i="24"/>
  <c r="H54" i="24"/>
  <c r="L20" i="12"/>
  <c r="L59" i="12"/>
  <c r="L29" i="12"/>
  <c r="L49" i="12"/>
  <c r="L74" i="12"/>
  <c r="L39" i="12"/>
  <c r="L44" i="12"/>
  <c r="L94" i="12"/>
  <c r="L79" i="12"/>
  <c r="L10" i="12"/>
  <c r="L84" i="12"/>
  <c r="L54" i="12"/>
  <c r="L49" i="24"/>
  <c r="L89" i="12"/>
  <c r="L109" i="12"/>
  <c r="L64" i="12"/>
  <c r="L104" i="12"/>
  <c r="L99" i="12"/>
  <c r="L44" i="24"/>
  <c r="L104" i="24"/>
  <c r="L119" i="24"/>
  <c r="L89" i="24"/>
  <c r="L15" i="12"/>
  <c r="L34" i="12"/>
  <c r="L69" i="12"/>
  <c r="L109" i="24"/>
  <c r="L79" i="24"/>
  <c r="L74" i="24"/>
  <c r="L114" i="12"/>
  <c r="L84" i="24"/>
  <c r="L69" i="24"/>
  <c r="L119" i="12"/>
  <c r="L64" i="24"/>
  <c r="L94" i="24"/>
  <c r="L59" i="24"/>
  <c r="L99" i="24"/>
  <c r="L114" i="24"/>
  <c r="L54" i="24"/>
  <c r="D124" i="12"/>
  <c r="D129" i="12"/>
  <c r="D129" i="24"/>
  <c r="D124" i="24"/>
  <c r="D134" i="24"/>
  <c r="D134" i="12"/>
  <c r="H129" i="24"/>
  <c r="H124" i="24"/>
  <c r="H124" i="12"/>
  <c r="H134" i="12"/>
  <c r="H129" i="12"/>
  <c r="H134" i="24"/>
  <c r="L129" i="24"/>
  <c r="L124" i="24"/>
  <c r="L124" i="12"/>
  <c r="L129" i="12"/>
  <c r="L134" i="12"/>
  <c r="L134" i="24"/>
  <c r="E59" i="12"/>
  <c r="E29" i="12"/>
  <c r="E69" i="12"/>
  <c r="E20" i="12"/>
  <c r="E39" i="12"/>
  <c r="E109" i="12"/>
  <c r="E64" i="12"/>
  <c r="E54" i="12"/>
  <c r="E89" i="24"/>
  <c r="E49" i="12"/>
  <c r="E74" i="12"/>
  <c r="E44" i="12"/>
  <c r="E59" i="24"/>
  <c r="E94" i="12"/>
  <c r="E10" i="12"/>
  <c r="E15" i="12"/>
  <c r="E34" i="12"/>
  <c r="E99" i="12"/>
  <c r="E84" i="12"/>
  <c r="E64" i="24"/>
  <c r="E104" i="24"/>
  <c r="E119" i="24"/>
  <c r="E104" i="12"/>
  <c r="E109" i="24"/>
  <c r="E94" i="24"/>
  <c r="E114" i="12"/>
  <c r="E79" i="24"/>
  <c r="E89" i="12"/>
  <c r="E74" i="24"/>
  <c r="E79" i="12"/>
  <c r="E119" i="12"/>
  <c r="E44" i="24"/>
  <c r="E84" i="24"/>
  <c r="E49" i="24"/>
  <c r="E114" i="24"/>
  <c r="E69" i="24"/>
  <c r="E99" i="24"/>
  <c r="E54" i="24"/>
  <c r="I114" i="12"/>
  <c r="I89" i="12"/>
  <c r="I49" i="12"/>
  <c r="I74" i="24"/>
  <c r="I29" i="12"/>
  <c r="I64" i="12"/>
  <c r="I99" i="24"/>
  <c r="I69" i="12"/>
  <c r="I20" i="12"/>
  <c r="I39" i="12"/>
  <c r="I109" i="12"/>
  <c r="I94" i="12"/>
  <c r="I54" i="12"/>
  <c r="I89" i="24"/>
  <c r="I59" i="24"/>
  <c r="I74" i="12"/>
  <c r="I10" i="12"/>
  <c r="I59" i="12"/>
  <c r="I99" i="12"/>
  <c r="I79" i="12"/>
  <c r="I119" i="12"/>
  <c r="I44" i="24"/>
  <c r="I44" i="12"/>
  <c r="I84" i="12"/>
  <c r="I64" i="24"/>
  <c r="I104" i="24"/>
  <c r="I119" i="24"/>
  <c r="I114" i="24"/>
  <c r="I104" i="12"/>
  <c r="I109" i="24"/>
  <c r="I94" i="24"/>
  <c r="I15" i="12"/>
  <c r="I34" i="12"/>
  <c r="I79" i="24"/>
  <c r="I84" i="24"/>
  <c r="I69" i="24"/>
  <c r="I49" i="24"/>
  <c r="I54" i="24"/>
  <c r="M44" i="12"/>
  <c r="M59" i="24"/>
  <c r="M10" i="12"/>
  <c r="M59" i="12"/>
  <c r="M74" i="12"/>
  <c r="M15" i="12"/>
  <c r="M34" i="12"/>
  <c r="M99" i="12"/>
  <c r="M84" i="12"/>
  <c r="M114" i="12"/>
  <c r="M89" i="12"/>
  <c r="M74" i="24"/>
  <c r="M29" i="12"/>
  <c r="M64" i="12"/>
  <c r="M69" i="12"/>
  <c r="M20" i="12"/>
  <c r="M39" i="12"/>
  <c r="M49" i="12"/>
  <c r="M109" i="12"/>
  <c r="M79" i="24"/>
  <c r="M79" i="12"/>
  <c r="M119" i="12"/>
  <c r="M44" i="24"/>
  <c r="M54" i="12"/>
  <c r="M89" i="24"/>
  <c r="M64" i="24"/>
  <c r="M104" i="24"/>
  <c r="M119" i="24"/>
  <c r="M114" i="24"/>
  <c r="M94" i="12"/>
  <c r="M104" i="12"/>
  <c r="M109" i="24"/>
  <c r="M94" i="24"/>
  <c r="M99" i="24"/>
  <c r="M84" i="24"/>
  <c r="M69" i="24"/>
  <c r="M49" i="24"/>
  <c r="M54" i="24"/>
  <c r="E124" i="12"/>
  <c r="E129" i="12"/>
  <c r="E124" i="24"/>
  <c r="E129" i="24"/>
  <c r="E134" i="12"/>
  <c r="E134" i="24"/>
  <c r="I124" i="24"/>
  <c r="I124" i="12"/>
  <c r="I129" i="12"/>
  <c r="I134" i="12"/>
  <c r="I129" i="24"/>
  <c r="I134" i="24"/>
  <c r="M124" i="24"/>
  <c r="M129" i="12"/>
  <c r="M124" i="12"/>
  <c r="M129" i="24"/>
  <c r="M134" i="12"/>
  <c r="M134" i="24"/>
  <c r="F119" i="12"/>
  <c r="F59" i="12"/>
  <c r="F94" i="12"/>
  <c r="F74" i="24"/>
  <c r="F84" i="12"/>
  <c r="F49" i="12"/>
  <c r="F29" i="12"/>
  <c r="F119" i="24"/>
  <c r="F44" i="24"/>
  <c r="F79" i="12"/>
  <c r="F20" i="12"/>
  <c r="F39" i="12"/>
  <c r="F104" i="12"/>
  <c r="F89" i="12"/>
  <c r="F15" i="12"/>
  <c r="F34" i="12"/>
  <c r="F69" i="12"/>
  <c r="F104" i="24"/>
  <c r="F89" i="24"/>
  <c r="F109" i="12"/>
  <c r="F114" i="24"/>
  <c r="F54" i="12"/>
  <c r="F74" i="12"/>
  <c r="F99" i="12"/>
  <c r="F114" i="12"/>
  <c r="F64" i="12"/>
  <c r="F44" i="12"/>
  <c r="F10" i="12"/>
  <c r="F59" i="24"/>
  <c r="F99" i="24"/>
  <c r="F49" i="24"/>
  <c r="F64" i="24"/>
  <c r="F94" i="24"/>
  <c r="F109" i="24"/>
  <c r="F79" i="24"/>
  <c r="F84" i="24"/>
  <c r="F69" i="24"/>
  <c r="F54" i="24"/>
  <c r="N124" i="12"/>
  <c r="N124" i="24"/>
  <c r="N129" i="24"/>
  <c r="N129" i="12"/>
  <c r="N134" i="12"/>
  <c r="N134" i="24"/>
  <c r="K154" i="24"/>
  <c r="I154" i="24"/>
  <c r="D154" i="24"/>
  <c r="N154" i="24"/>
  <c r="J154" i="24"/>
  <c r="C154" i="24"/>
  <c r="O146" i="24"/>
  <c r="O154" i="24" s="1"/>
  <c r="L154" i="24"/>
  <c r="H154" i="24"/>
  <c r="F154" i="24"/>
  <c r="E154" i="24"/>
  <c r="M154" i="24"/>
  <c r="G154" i="24"/>
  <c r="N19" i="8"/>
  <c r="N17" i="8"/>
  <c r="O153" i="12" l="1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E11" i="8" l="1"/>
  <c r="E6" i="8"/>
  <c r="O92" i="24" l="1"/>
  <c r="O77" i="24"/>
  <c r="O62" i="24"/>
  <c r="O27" i="24"/>
  <c r="O107" i="24"/>
  <c r="O82" i="24"/>
  <c r="O67" i="24"/>
  <c r="O8" i="24"/>
  <c r="O112" i="24"/>
  <c r="O87" i="24"/>
  <c r="O72" i="24"/>
  <c r="O57" i="24"/>
  <c r="O117" i="12"/>
  <c r="O102" i="12"/>
  <c r="O77" i="12"/>
  <c r="O112" i="12"/>
  <c r="O27" i="12"/>
  <c r="O102" i="24"/>
  <c r="O42" i="24"/>
  <c r="O92" i="12"/>
  <c r="O57" i="12"/>
  <c r="O87" i="12"/>
  <c r="O107" i="12"/>
  <c r="O72" i="12"/>
  <c r="O42" i="12"/>
  <c r="O13" i="12"/>
  <c r="O117" i="24"/>
  <c r="O62" i="12"/>
  <c r="O8" i="12"/>
  <c r="O82" i="12"/>
  <c r="O18" i="12"/>
  <c r="O97" i="12"/>
  <c r="O52" i="12"/>
  <c r="O67" i="12"/>
  <c r="O97" i="24"/>
  <c r="O13" i="24"/>
  <c r="O37" i="12"/>
  <c r="O47" i="24"/>
  <c r="O32" i="24"/>
  <c r="O47" i="12"/>
  <c r="O32" i="12"/>
  <c r="O18" i="24"/>
  <c r="O52" i="24"/>
  <c r="O37" i="24"/>
  <c r="F147" i="12"/>
  <c r="D147" i="12"/>
  <c r="C147" i="24"/>
  <c r="M147" i="24"/>
  <c r="H147" i="12"/>
  <c r="J147" i="12"/>
  <c r="M147" i="12"/>
  <c r="N147" i="12"/>
  <c r="K147" i="12"/>
  <c r="J147" i="24"/>
  <c r="H147" i="24"/>
  <c r="G147" i="24"/>
  <c r="L147" i="24"/>
  <c r="E147" i="12"/>
  <c r="L147" i="12"/>
  <c r="C147" i="12"/>
  <c r="I147" i="12"/>
  <c r="K147" i="24"/>
  <c r="D147" i="24"/>
  <c r="F147" i="24"/>
  <c r="E147" i="24"/>
  <c r="G147" i="12"/>
  <c r="I147" i="24"/>
  <c r="N147" i="24"/>
  <c r="O122" i="12"/>
  <c r="O122" i="24"/>
  <c r="O127" i="24"/>
  <c r="O127" i="12"/>
  <c r="O132" i="24"/>
  <c r="O132" i="12"/>
  <c r="F155" i="24"/>
  <c r="D155" i="24"/>
  <c r="L155" i="24"/>
  <c r="J155" i="24"/>
  <c r="M155" i="24"/>
  <c r="G155" i="24"/>
  <c r="K155" i="24"/>
  <c r="H155" i="24"/>
  <c r="N155" i="24"/>
  <c r="E155" i="24"/>
  <c r="C155" i="24"/>
  <c r="I155" i="24"/>
  <c r="F37" i="24" l="1"/>
  <c r="F40" i="24" s="1"/>
  <c r="J37" i="24"/>
  <c r="N37" i="24"/>
  <c r="C37" i="24"/>
  <c r="C40" i="24" s="1"/>
  <c r="G37" i="24"/>
  <c r="G40" i="24" s="1"/>
  <c r="K37" i="24"/>
  <c r="D37" i="24"/>
  <c r="D40" i="24" s="1"/>
  <c r="H37" i="24"/>
  <c r="H40" i="24" s="1"/>
  <c r="L37" i="24"/>
  <c r="L40" i="24" s="1"/>
  <c r="E37" i="24"/>
  <c r="I37" i="24"/>
  <c r="I40" i="24" s="1"/>
  <c r="M37" i="24"/>
  <c r="M40" i="24" s="1"/>
  <c r="F27" i="24"/>
  <c r="J27" i="24"/>
  <c r="N27" i="24"/>
  <c r="N30" i="24" s="1"/>
  <c r="G27" i="24"/>
  <c r="G30" i="24" s="1"/>
  <c r="K27" i="24"/>
  <c r="C27" i="24"/>
  <c r="H27" i="24"/>
  <c r="L27" i="24"/>
  <c r="L30" i="24" s="1"/>
  <c r="D27" i="24"/>
  <c r="I27" i="24"/>
  <c r="M27" i="24"/>
  <c r="E27" i="24"/>
  <c r="E30" i="24" s="1"/>
  <c r="F32" i="24"/>
  <c r="J32" i="24"/>
  <c r="N32" i="24"/>
  <c r="N35" i="24" s="1"/>
  <c r="C32" i="24"/>
  <c r="C35" i="24" s="1"/>
  <c r="G32" i="24"/>
  <c r="G35" i="24" s="1"/>
  <c r="K32" i="24"/>
  <c r="D32" i="24"/>
  <c r="D35" i="24" s="1"/>
  <c r="H32" i="24"/>
  <c r="H35" i="24" s="1"/>
  <c r="L32" i="24"/>
  <c r="E32" i="24"/>
  <c r="I32" i="24"/>
  <c r="I35" i="24" s="1"/>
  <c r="M32" i="24"/>
  <c r="M35" i="24" s="1"/>
  <c r="D18" i="24"/>
  <c r="D21" i="24" s="1"/>
  <c r="H18" i="24"/>
  <c r="M18" i="24"/>
  <c r="M21" i="24" s="1"/>
  <c r="E18" i="24"/>
  <c r="E21" i="24" s="1"/>
  <c r="J18" i="24"/>
  <c r="N18" i="24"/>
  <c r="N21" i="24" s="1"/>
  <c r="F18" i="24"/>
  <c r="F21" i="24" s="1"/>
  <c r="K18" i="24"/>
  <c r="K21" i="24" s="1"/>
  <c r="C18" i="24"/>
  <c r="C21" i="24" s="1"/>
  <c r="G18" i="24"/>
  <c r="G21" i="24" s="1"/>
  <c r="L18" i="24"/>
  <c r="L21" i="24" s="1"/>
  <c r="I18" i="24"/>
  <c r="I21" i="24" s="1"/>
  <c r="D13" i="24"/>
  <c r="H13" i="24"/>
  <c r="L13" i="24"/>
  <c r="L16" i="24" s="1"/>
  <c r="E13" i="24"/>
  <c r="E16" i="24" s="1"/>
  <c r="I13" i="24"/>
  <c r="I16" i="24" s="1"/>
  <c r="M13" i="24"/>
  <c r="M16" i="24" s="1"/>
  <c r="F13" i="24"/>
  <c r="F16" i="24" s="1"/>
  <c r="J13" i="24"/>
  <c r="J16" i="24" s="1"/>
  <c r="N13" i="24"/>
  <c r="C13" i="24"/>
  <c r="G13" i="24"/>
  <c r="G16" i="24" s="1"/>
  <c r="K13" i="24"/>
  <c r="K16" i="24" s="1"/>
  <c r="N8" i="24"/>
  <c r="I8" i="24"/>
  <c r="I11" i="24" s="1"/>
  <c r="D8" i="24"/>
  <c r="L8" i="24"/>
  <c r="E8" i="24"/>
  <c r="M8" i="24"/>
  <c r="H8" i="24"/>
  <c r="H11" i="24" s="1"/>
  <c r="J8" i="24"/>
  <c r="K8" i="24"/>
  <c r="K11" i="24" s="1"/>
  <c r="F8" i="24"/>
  <c r="G8" i="24"/>
  <c r="G11" i="24" s="1"/>
  <c r="C8" i="24"/>
  <c r="C16" i="24"/>
  <c r="H21" i="24"/>
  <c r="J21" i="24"/>
  <c r="K30" i="24"/>
  <c r="C30" i="24"/>
  <c r="J35" i="24"/>
  <c r="L35" i="24"/>
  <c r="K40" i="24"/>
  <c r="E40" i="24"/>
  <c r="J40" i="24"/>
  <c r="N40" i="24"/>
  <c r="D16" i="24"/>
  <c r="N16" i="24"/>
  <c r="H16" i="24"/>
  <c r="G92" i="12"/>
  <c r="K92" i="12"/>
  <c r="F92" i="12"/>
  <c r="D92" i="12"/>
  <c r="C92" i="12"/>
  <c r="I92" i="12"/>
  <c r="E92" i="12"/>
  <c r="M92" i="12"/>
  <c r="H92" i="12"/>
  <c r="L92" i="12"/>
  <c r="N92" i="12"/>
  <c r="J92" i="12"/>
  <c r="M11" i="24"/>
  <c r="N11" i="24"/>
  <c r="F11" i="24"/>
  <c r="D11" i="24"/>
  <c r="L11" i="24"/>
  <c r="E11" i="24"/>
  <c r="C11" i="24"/>
  <c r="J11" i="24"/>
  <c r="O147" i="24"/>
  <c r="K52" i="24"/>
  <c r="K55" i="24" s="1"/>
  <c r="L52" i="24"/>
  <c r="L55" i="24" s="1"/>
  <c r="J52" i="24"/>
  <c r="J55" i="24" s="1"/>
  <c r="N52" i="24"/>
  <c r="N55" i="24" s="1"/>
  <c r="F52" i="24"/>
  <c r="F55" i="24" s="1"/>
  <c r="E52" i="24"/>
  <c r="E55" i="24" s="1"/>
  <c r="C52" i="24"/>
  <c r="C55" i="24" s="1"/>
  <c r="G52" i="24"/>
  <c r="G55" i="24" s="1"/>
  <c r="H52" i="24"/>
  <c r="H55" i="24" s="1"/>
  <c r="M52" i="24"/>
  <c r="M55" i="24" s="1"/>
  <c r="D52" i="24"/>
  <c r="D55" i="24" s="1"/>
  <c r="I52" i="24"/>
  <c r="I55" i="24" s="1"/>
  <c r="K35" i="24"/>
  <c r="F35" i="24"/>
  <c r="E35" i="24"/>
  <c r="N97" i="24"/>
  <c r="N100" i="24" s="1"/>
  <c r="L97" i="24"/>
  <c r="L100" i="24" s="1"/>
  <c r="C97" i="24"/>
  <c r="C100" i="24" s="1"/>
  <c r="H97" i="24"/>
  <c r="H100" i="24" s="1"/>
  <c r="K97" i="24"/>
  <c r="K100" i="24" s="1"/>
  <c r="J97" i="24"/>
  <c r="J100" i="24" s="1"/>
  <c r="D97" i="24"/>
  <c r="D100" i="24" s="1"/>
  <c r="F97" i="24"/>
  <c r="F100" i="24" s="1"/>
  <c r="E97" i="24"/>
  <c r="E100" i="24" s="1"/>
  <c r="I97" i="24"/>
  <c r="I100" i="24" s="1"/>
  <c r="M97" i="24"/>
  <c r="M100" i="24" s="1"/>
  <c r="G97" i="24"/>
  <c r="G100" i="24" s="1"/>
  <c r="H18" i="12"/>
  <c r="C18" i="12"/>
  <c r="N18" i="12"/>
  <c r="I18" i="12"/>
  <c r="J18" i="12"/>
  <c r="D18" i="12"/>
  <c r="G18" i="12"/>
  <c r="M18" i="12"/>
  <c r="F18" i="12"/>
  <c r="E18" i="12"/>
  <c r="L18" i="12"/>
  <c r="K18" i="12"/>
  <c r="C117" i="24"/>
  <c r="C120" i="24" s="1"/>
  <c r="J117" i="24"/>
  <c r="J120" i="24" s="1"/>
  <c r="H117" i="24"/>
  <c r="H120" i="24" s="1"/>
  <c r="D117" i="24"/>
  <c r="D120" i="24" s="1"/>
  <c r="M117" i="24"/>
  <c r="M120" i="24" s="1"/>
  <c r="G117" i="24"/>
  <c r="G120" i="24" s="1"/>
  <c r="E117" i="24"/>
  <c r="E120" i="24" s="1"/>
  <c r="N117" i="24"/>
  <c r="N120" i="24" s="1"/>
  <c r="I117" i="24"/>
  <c r="I120" i="24" s="1"/>
  <c r="L117" i="24"/>
  <c r="L120" i="24" s="1"/>
  <c r="K117" i="24"/>
  <c r="K120" i="24" s="1"/>
  <c r="F117" i="24"/>
  <c r="F120" i="24" s="1"/>
  <c r="H107" i="12"/>
  <c r="F107" i="12"/>
  <c r="G107" i="12"/>
  <c r="K107" i="12"/>
  <c r="I107" i="12"/>
  <c r="D107" i="12"/>
  <c r="C107" i="12"/>
  <c r="N107" i="12"/>
  <c r="J107" i="12"/>
  <c r="M107" i="12"/>
  <c r="L107" i="12"/>
  <c r="E107" i="12"/>
  <c r="M42" i="24"/>
  <c r="M45" i="24" s="1"/>
  <c r="F42" i="24"/>
  <c r="F45" i="24" s="1"/>
  <c r="I42" i="24"/>
  <c r="I45" i="24" s="1"/>
  <c r="L42" i="24"/>
  <c r="L45" i="24" s="1"/>
  <c r="H42" i="24"/>
  <c r="H45" i="24" s="1"/>
  <c r="K42" i="24"/>
  <c r="K45" i="24" s="1"/>
  <c r="C42" i="24"/>
  <c r="C45" i="24" s="1"/>
  <c r="E42" i="24"/>
  <c r="E45" i="24" s="1"/>
  <c r="N42" i="24"/>
  <c r="N45" i="24" s="1"/>
  <c r="J42" i="24"/>
  <c r="J45" i="24" s="1"/>
  <c r="D42" i="24"/>
  <c r="D45" i="24" s="1"/>
  <c r="G42" i="24"/>
  <c r="G45" i="24" s="1"/>
  <c r="C77" i="12"/>
  <c r="M77" i="12"/>
  <c r="I77" i="12"/>
  <c r="N77" i="12"/>
  <c r="D77" i="12"/>
  <c r="J77" i="12"/>
  <c r="E77" i="12"/>
  <c r="G77" i="12"/>
  <c r="H77" i="12"/>
  <c r="F77" i="12"/>
  <c r="K77" i="12"/>
  <c r="L77" i="12"/>
  <c r="F72" i="24"/>
  <c r="F75" i="24" s="1"/>
  <c r="E72" i="24"/>
  <c r="E75" i="24" s="1"/>
  <c r="I72" i="24"/>
  <c r="I75" i="24" s="1"/>
  <c r="M72" i="24"/>
  <c r="M75" i="24" s="1"/>
  <c r="H72" i="24"/>
  <c r="H75" i="24" s="1"/>
  <c r="L72" i="24"/>
  <c r="L75" i="24" s="1"/>
  <c r="D72" i="24"/>
  <c r="D75" i="24" s="1"/>
  <c r="G72" i="24"/>
  <c r="G75" i="24" s="1"/>
  <c r="N72" i="24"/>
  <c r="N75" i="24" s="1"/>
  <c r="C72" i="24"/>
  <c r="C75" i="24" s="1"/>
  <c r="K72" i="24"/>
  <c r="K75" i="24" s="1"/>
  <c r="J72" i="24"/>
  <c r="J75" i="24" s="1"/>
  <c r="C67" i="24"/>
  <c r="C70" i="24" s="1"/>
  <c r="G67" i="24"/>
  <c r="G70" i="24" s="1"/>
  <c r="N67" i="24"/>
  <c r="N70" i="24" s="1"/>
  <c r="K67" i="24"/>
  <c r="K70" i="24" s="1"/>
  <c r="M67" i="24"/>
  <c r="M70" i="24" s="1"/>
  <c r="H67" i="24"/>
  <c r="H70" i="24" s="1"/>
  <c r="L67" i="24"/>
  <c r="L70" i="24" s="1"/>
  <c r="D67" i="24"/>
  <c r="D70" i="24" s="1"/>
  <c r="E67" i="24"/>
  <c r="E70" i="24" s="1"/>
  <c r="J67" i="24"/>
  <c r="J70" i="24" s="1"/>
  <c r="I67" i="24"/>
  <c r="I70" i="24" s="1"/>
  <c r="F67" i="24"/>
  <c r="F70" i="24" s="1"/>
  <c r="I62" i="24"/>
  <c r="I65" i="24" s="1"/>
  <c r="L62" i="24"/>
  <c r="L65" i="24" s="1"/>
  <c r="M62" i="24"/>
  <c r="M65" i="24" s="1"/>
  <c r="C62" i="24"/>
  <c r="C65" i="24" s="1"/>
  <c r="K62" i="24"/>
  <c r="K65" i="24" s="1"/>
  <c r="E62" i="24"/>
  <c r="E65" i="24" s="1"/>
  <c r="G62" i="24"/>
  <c r="G65" i="24" s="1"/>
  <c r="F62" i="24"/>
  <c r="F65" i="24" s="1"/>
  <c r="H62" i="24"/>
  <c r="H65" i="24" s="1"/>
  <c r="N62" i="24"/>
  <c r="N65" i="24" s="1"/>
  <c r="D62" i="24"/>
  <c r="D65" i="24" s="1"/>
  <c r="J62" i="24"/>
  <c r="J65" i="24" s="1"/>
  <c r="N97" i="12"/>
  <c r="I97" i="12"/>
  <c r="M97" i="12"/>
  <c r="K97" i="12"/>
  <c r="D97" i="12"/>
  <c r="C97" i="12"/>
  <c r="J97" i="12"/>
  <c r="H97" i="12"/>
  <c r="G97" i="12"/>
  <c r="L97" i="12"/>
  <c r="F97" i="12"/>
  <c r="E97" i="12"/>
  <c r="J112" i="12"/>
  <c r="K112" i="12"/>
  <c r="H112" i="12"/>
  <c r="I112" i="12"/>
  <c r="F112" i="12"/>
  <c r="G112" i="12"/>
  <c r="L112" i="12"/>
  <c r="N112" i="12"/>
  <c r="D112" i="12"/>
  <c r="C112" i="12"/>
  <c r="E112" i="12"/>
  <c r="M112" i="12"/>
  <c r="F30" i="24"/>
  <c r="J30" i="24"/>
  <c r="M30" i="24"/>
  <c r="I30" i="24"/>
  <c r="H30" i="24"/>
  <c r="D30" i="24"/>
  <c r="C47" i="24"/>
  <c r="C50" i="24" s="1"/>
  <c r="I47" i="24"/>
  <c r="I50" i="24" s="1"/>
  <c r="K47" i="24"/>
  <c r="K50" i="24" s="1"/>
  <c r="M47" i="24"/>
  <c r="M50" i="24" s="1"/>
  <c r="G47" i="24"/>
  <c r="G50" i="24" s="1"/>
  <c r="N47" i="24"/>
  <c r="N50" i="24" s="1"/>
  <c r="J47" i="24"/>
  <c r="J50" i="24" s="1"/>
  <c r="E47" i="24"/>
  <c r="E50" i="24" s="1"/>
  <c r="H47" i="24"/>
  <c r="H50" i="24" s="1"/>
  <c r="D47" i="24"/>
  <c r="D50" i="24" s="1"/>
  <c r="L47" i="24"/>
  <c r="L50" i="24" s="1"/>
  <c r="F47" i="24"/>
  <c r="F50" i="24" s="1"/>
  <c r="J67" i="12"/>
  <c r="I67" i="12"/>
  <c r="D67" i="12"/>
  <c r="N67" i="12"/>
  <c r="K67" i="12"/>
  <c r="M67" i="12"/>
  <c r="H67" i="12"/>
  <c r="F67" i="12"/>
  <c r="C67" i="12"/>
  <c r="E67" i="12"/>
  <c r="L67" i="12"/>
  <c r="G67" i="12"/>
  <c r="J82" i="12"/>
  <c r="I82" i="12"/>
  <c r="D82" i="12"/>
  <c r="L82" i="12"/>
  <c r="K82" i="12"/>
  <c r="H82" i="12"/>
  <c r="F82" i="12"/>
  <c r="C82" i="12"/>
  <c r="N82" i="12"/>
  <c r="E82" i="12"/>
  <c r="G82" i="12"/>
  <c r="M82" i="12"/>
  <c r="N13" i="12"/>
  <c r="M13" i="12"/>
  <c r="L13" i="12"/>
  <c r="H13" i="12"/>
  <c r="C13" i="12"/>
  <c r="E13" i="12"/>
  <c r="F13" i="12"/>
  <c r="J13" i="12"/>
  <c r="D13" i="12"/>
  <c r="G13" i="12"/>
  <c r="K13" i="12"/>
  <c r="I13" i="12"/>
  <c r="M87" i="12"/>
  <c r="G87" i="12"/>
  <c r="C87" i="12"/>
  <c r="H87" i="12"/>
  <c r="K87" i="12"/>
  <c r="I87" i="12"/>
  <c r="D87" i="12"/>
  <c r="E87" i="12"/>
  <c r="L87" i="12"/>
  <c r="F87" i="12"/>
  <c r="N87" i="12"/>
  <c r="J87" i="12"/>
  <c r="H102" i="24"/>
  <c r="H105" i="24" s="1"/>
  <c r="D102" i="24"/>
  <c r="D105" i="24" s="1"/>
  <c r="J102" i="24"/>
  <c r="J105" i="24" s="1"/>
  <c r="N102" i="24"/>
  <c r="N105" i="24" s="1"/>
  <c r="L102" i="24"/>
  <c r="L105" i="24" s="1"/>
  <c r="I102" i="24"/>
  <c r="I105" i="24" s="1"/>
  <c r="K102" i="24"/>
  <c r="K105" i="24" s="1"/>
  <c r="G102" i="24"/>
  <c r="G105" i="24" s="1"/>
  <c r="C102" i="24"/>
  <c r="C105" i="24" s="1"/>
  <c r="F102" i="24"/>
  <c r="F105" i="24" s="1"/>
  <c r="E102" i="24"/>
  <c r="E105" i="24" s="1"/>
  <c r="M102" i="24"/>
  <c r="M105" i="24" s="1"/>
  <c r="H102" i="12"/>
  <c r="J102" i="12"/>
  <c r="L102" i="12"/>
  <c r="F102" i="12"/>
  <c r="D102" i="12"/>
  <c r="K102" i="12"/>
  <c r="N102" i="12"/>
  <c r="I102" i="12"/>
  <c r="C102" i="12"/>
  <c r="M102" i="12"/>
  <c r="G102" i="12"/>
  <c r="E102" i="12"/>
  <c r="I87" i="24"/>
  <c r="I90" i="24" s="1"/>
  <c r="D87" i="24"/>
  <c r="D90" i="24" s="1"/>
  <c r="L87" i="24"/>
  <c r="L90" i="24" s="1"/>
  <c r="K87" i="24"/>
  <c r="K90" i="24" s="1"/>
  <c r="N87" i="24"/>
  <c r="N90" i="24" s="1"/>
  <c r="J87" i="24"/>
  <c r="J90" i="24" s="1"/>
  <c r="M87" i="24"/>
  <c r="M90" i="24" s="1"/>
  <c r="F87" i="24"/>
  <c r="F90" i="24" s="1"/>
  <c r="E87" i="24"/>
  <c r="E90" i="24" s="1"/>
  <c r="G87" i="24"/>
  <c r="G90" i="24" s="1"/>
  <c r="C87" i="24"/>
  <c r="C90" i="24" s="1"/>
  <c r="H87" i="24"/>
  <c r="H90" i="24" s="1"/>
  <c r="F82" i="24"/>
  <c r="F85" i="24" s="1"/>
  <c r="C82" i="24"/>
  <c r="C85" i="24" s="1"/>
  <c r="I82" i="24"/>
  <c r="I85" i="24" s="1"/>
  <c r="L82" i="24"/>
  <c r="L85" i="24" s="1"/>
  <c r="D82" i="24"/>
  <c r="D85" i="24" s="1"/>
  <c r="G82" i="24"/>
  <c r="G85" i="24" s="1"/>
  <c r="M82" i="24"/>
  <c r="M85" i="24" s="1"/>
  <c r="K82" i="24"/>
  <c r="K85" i="24" s="1"/>
  <c r="E82" i="24"/>
  <c r="E85" i="24" s="1"/>
  <c r="H82" i="24"/>
  <c r="H85" i="24" s="1"/>
  <c r="N82" i="24"/>
  <c r="N85" i="24" s="1"/>
  <c r="J82" i="24"/>
  <c r="J85" i="24" s="1"/>
  <c r="E77" i="24"/>
  <c r="E80" i="24" s="1"/>
  <c r="H77" i="24"/>
  <c r="H80" i="24" s="1"/>
  <c r="I77" i="24"/>
  <c r="I80" i="24" s="1"/>
  <c r="N77" i="24"/>
  <c r="N80" i="24" s="1"/>
  <c r="D77" i="24"/>
  <c r="D80" i="24" s="1"/>
  <c r="C77" i="24"/>
  <c r="C80" i="24" s="1"/>
  <c r="L77" i="24"/>
  <c r="L80" i="24" s="1"/>
  <c r="F77" i="24"/>
  <c r="F80" i="24" s="1"/>
  <c r="M77" i="24"/>
  <c r="M80" i="24" s="1"/>
  <c r="J77" i="24"/>
  <c r="J80" i="24" s="1"/>
  <c r="K77" i="24"/>
  <c r="K80" i="24" s="1"/>
  <c r="G77" i="24"/>
  <c r="G80" i="24" s="1"/>
  <c r="G47" i="12"/>
  <c r="G50" i="12" s="1"/>
  <c r="L47" i="12"/>
  <c r="L50" i="12" s="1"/>
  <c r="J47" i="12"/>
  <c r="J50" i="12" s="1"/>
  <c r="H47" i="12"/>
  <c r="H50" i="12" s="1"/>
  <c r="D47" i="12"/>
  <c r="D50" i="12" s="1"/>
  <c r="E47" i="12"/>
  <c r="E50" i="12" s="1"/>
  <c r="I47" i="12"/>
  <c r="I50" i="12" s="1"/>
  <c r="F47" i="12"/>
  <c r="F50" i="12" s="1"/>
  <c r="C47" i="12"/>
  <c r="C50" i="12" s="1"/>
  <c r="M47" i="12"/>
  <c r="M50" i="12" s="1"/>
  <c r="N47" i="12"/>
  <c r="N50" i="12" s="1"/>
  <c r="K47" i="12"/>
  <c r="K50" i="12" s="1"/>
  <c r="L62" i="12"/>
  <c r="K62" i="12"/>
  <c r="F62" i="12"/>
  <c r="H62" i="12"/>
  <c r="D62" i="12"/>
  <c r="C62" i="12"/>
  <c r="N62" i="12"/>
  <c r="I62" i="12"/>
  <c r="E62" i="12"/>
  <c r="M62" i="12"/>
  <c r="G62" i="12"/>
  <c r="J62" i="12"/>
  <c r="K72" i="12"/>
  <c r="F72" i="12"/>
  <c r="C72" i="12"/>
  <c r="J72" i="12"/>
  <c r="E72" i="12"/>
  <c r="I72" i="12"/>
  <c r="M72" i="12"/>
  <c r="D72" i="12"/>
  <c r="L72" i="12"/>
  <c r="G72" i="12"/>
  <c r="H72" i="12"/>
  <c r="N72" i="12"/>
  <c r="K57" i="24"/>
  <c r="K60" i="24" s="1"/>
  <c r="F57" i="24"/>
  <c r="F60" i="24" s="1"/>
  <c r="C57" i="24"/>
  <c r="C60" i="24" s="1"/>
  <c r="H57" i="24"/>
  <c r="H60" i="24" s="1"/>
  <c r="I57" i="24"/>
  <c r="I60" i="24" s="1"/>
  <c r="N57" i="24"/>
  <c r="N60" i="24" s="1"/>
  <c r="M57" i="24"/>
  <c r="M60" i="24" s="1"/>
  <c r="L57" i="24"/>
  <c r="L60" i="24" s="1"/>
  <c r="E57" i="24"/>
  <c r="E60" i="24" s="1"/>
  <c r="J57" i="24"/>
  <c r="J60" i="24" s="1"/>
  <c r="D57" i="24"/>
  <c r="D60" i="24" s="1"/>
  <c r="G57" i="24"/>
  <c r="G60" i="24" s="1"/>
  <c r="C32" i="12"/>
  <c r="C35" i="12" s="1"/>
  <c r="K32" i="12"/>
  <c r="K35" i="12" s="1"/>
  <c r="F32" i="12"/>
  <c r="F35" i="12" s="1"/>
  <c r="D32" i="12"/>
  <c r="D35" i="12" s="1"/>
  <c r="N32" i="12"/>
  <c r="N35" i="12" s="1"/>
  <c r="H32" i="12"/>
  <c r="H35" i="12" s="1"/>
  <c r="M32" i="12"/>
  <c r="M35" i="12" s="1"/>
  <c r="J32" i="12"/>
  <c r="J35" i="12" s="1"/>
  <c r="G32" i="12"/>
  <c r="G35" i="12" s="1"/>
  <c r="I32" i="12"/>
  <c r="I35" i="12" s="1"/>
  <c r="E32" i="12"/>
  <c r="E35" i="12" s="1"/>
  <c r="L32" i="12"/>
  <c r="L35" i="12" s="1"/>
  <c r="K37" i="12"/>
  <c r="K40" i="12" s="1"/>
  <c r="J37" i="12"/>
  <c r="J40" i="12" s="1"/>
  <c r="E37" i="12"/>
  <c r="E40" i="12" s="1"/>
  <c r="D37" i="12"/>
  <c r="D40" i="12" s="1"/>
  <c r="L37" i="12"/>
  <c r="L40" i="12" s="1"/>
  <c r="C37" i="12"/>
  <c r="C40" i="12" s="1"/>
  <c r="G37" i="12"/>
  <c r="G40" i="12" s="1"/>
  <c r="F37" i="12"/>
  <c r="F40" i="12" s="1"/>
  <c r="M37" i="12"/>
  <c r="M40" i="12" s="1"/>
  <c r="I37" i="12"/>
  <c r="I40" i="12" s="1"/>
  <c r="H37" i="12"/>
  <c r="H40" i="12" s="1"/>
  <c r="N37" i="12"/>
  <c r="N40" i="12" s="1"/>
  <c r="D52" i="12"/>
  <c r="D55" i="12" s="1"/>
  <c r="L52" i="12"/>
  <c r="L55" i="12" s="1"/>
  <c r="K52" i="12"/>
  <c r="K55" i="12" s="1"/>
  <c r="M52" i="12"/>
  <c r="M55" i="12" s="1"/>
  <c r="I52" i="12"/>
  <c r="I55" i="12" s="1"/>
  <c r="E52" i="12"/>
  <c r="E55" i="12" s="1"/>
  <c r="J52" i="12"/>
  <c r="J55" i="12" s="1"/>
  <c r="G52" i="12"/>
  <c r="G55" i="12" s="1"/>
  <c r="F52" i="12"/>
  <c r="F55" i="12" s="1"/>
  <c r="H52" i="12"/>
  <c r="H55" i="12" s="1"/>
  <c r="N52" i="12"/>
  <c r="N55" i="12" s="1"/>
  <c r="C52" i="12"/>
  <c r="C55" i="12" s="1"/>
  <c r="L8" i="12"/>
  <c r="G8" i="12"/>
  <c r="C8" i="12"/>
  <c r="H8" i="12"/>
  <c r="K8" i="12"/>
  <c r="F8" i="12"/>
  <c r="E8" i="12"/>
  <c r="D8" i="12"/>
  <c r="N8" i="12"/>
  <c r="I8" i="12"/>
  <c r="M8" i="12"/>
  <c r="J8" i="12"/>
  <c r="J42" i="12"/>
  <c r="J45" i="12" s="1"/>
  <c r="I42" i="12"/>
  <c r="I45" i="12" s="1"/>
  <c r="F42" i="12"/>
  <c r="F45" i="12" s="1"/>
  <c r="K42" i="12"/>
  <c r="K45" i="12" s="1"/>
  <c r="L42" i="12"/>
  <c r="L45" i="12" s="1"/>
  <c r="M42" i="12"/>
  <c r="M45" i="12" s="1"/>
  <c r="C42" i="12"/>
  <c r="C45" i="12" s="1"/>
  <c r="D42" i="12"/>
  <c r="D45" i="12" s="1"/>
  <c r="G42" i="12"/>
  <c r="G45" i="12" s="1"/>
  <c r="N42" i="12"/>
  <c r="N45" i="12" s="1"/>
  <c r="E42" i="12"/>
  <c r="E45" i="12" s="1"/>
  <c r="H42" i="12"/>
  <c r="H45" i="12" s="1"/>
  <c r="M57" i="12"/>
  <c r="M60" i="12" s="1"/>
  <c r="N57" i="12"/>
  <c r="N60" i="12" s="1"/>
  <c r="J57" i="12"/>
  <c r="J60" i="12" s="1"/>
  <c r="F57" i="12"/>
  <c r="F60" i="12" s="1"/>
  <c r="D57" i="12"/>
  <c r="D60" i="12" s="1"/>
  <c r="E57" i="12"/>
  <c r="E60" i="12" s="1"/>
  <c r="L57" i="12"/>
  <c r="L60" i="12" s="1"/>
  <c r="G57" i="12"/>
  <c r="G60" i="12" s="1"/>
  <c r="K57" i="12"/>
  <c r="K60" i="12" s="1"/>
  <c r="I57" i="12"/>
  <c r="I60" i="12" s="1"/>
  <c r="H57" i="12"/>
  <c r="H60" i="12" s="1"/>
  <c r="C57" i="12"/>
  <c r="C60" i="12" s="1"/>
  <c r="G27" i="12"/>
  <c r="G30" i="12" s="1"/>
  <c r="N27" i="12"/>
  <c r="N30" i="12" s="1"/>
  <c r="I27" i="12"/>
  <c r="I30" i="12" s="1"/>
  <c r="E27" i="12"/>
  <c r="E30" i="12" s="1"/>
  <c r="D27" i="12"/>
  <c r="D30" i="12" s="1"/>
  <c r="M27" i="12"/>
  <c r="M30" i="12" s="1"/>
  <c r="J27" i="12"/>
  <c r="J30" i="12" s="1"/>
  <c r="F27" i="12"/>
  <c r="F30" i="12" s="1"/>
  <c r="C27" i="12"/>
  <c r="C30" i="12" s="1"/>
  <c r="L27" i="12"/>
  <c r="L30" i="12" s="1"/>
  <c r="K27" i="12"/>
  <c r="K30" i="12" s="1"/>
  <c r="H27" i="12"/>
  <c r="H30" i="12" s="1"/>
  <c r="H117" i="12"/>
  <c r="L117" i="12"/>
  <c r="C117" i="12"/>
  <c r="I117" i="12"/>
  <c r="G117" i="12"/>
  <c r="J117" i="12"/>
  <c r="E117" i="12"/>
  <c r="D117" i="12"/>
  <c r="K117" i="12"/>
  <c r="N117" i="12"/>
  <c r="M117" i="12"/>
  <c r="F117" i="12"/>
  <c r="D112" i="24"/>
  <c r="D115" i="24" s="1"/>
  <c r="E112" i="24"/>
  <c r="E115" i="24" s="1"/>
  <c r="F112" i="24"/>
  <c r="F115" i="24" s="1"/>
  <c r="N112" i="24"/>
  <c r="N115" i="24" s="1"/>
  <c r="L112" i="24"/>
  <c r="L115" i="24" s="1"/>
  <c r="H112" i="24"/>
  <c r="H115" i="24" s="1"/>
  <c r="G112" i="24"/>
  <c r="G115" i="24" s="1"/>
  <c r="M112" i="24"/>
  <c r="M115" i="24" s="1"/>
  <c r="I112" i="24"/>
  <c r="I115" i="24" s="1"/>
  <c r="J112" i="24"/>
  <c r="J115" i="24" s="1"/>
  <c r="K112" i="24"/>
  <c r="K115" i="24" s="1"/>
  <c r="C112" i="24"/>
  <c r="C115" i="24" s="1"/>
  <c r="G107" i="24"/>
  <c r="G110" i="24" s="1"/>
  <c r="I107" i="24"/>
  <c r="I110" i="24" s="1"/>
  <c r="L107" i="24"/>
  <c r="L110" i="24" s="1"/>
  <c r="K107" i="24"/>
  <c r="K110" i="24" s="1"/>
  <c r="C107" i="24"/>
  <c r="C110" i="24" s="1"/>
  <c r="N107" i="24"/>
  <c r="N110" i="24" s="1"/>
  <c r="J107" i="24"/>
  <c r="J110" i="24" s="1"/>
  <c r="F107" i="24"/>
  <c r="F110" i="24" s="1"/>
  <c r="E107" i="24"/>
  <c r="E110" i="24" s="1"/>
  <c r="M107" i="24"/>
  <c r="M110" i="24" s="1"/>
  <c r="H107" i="24"/>
  <c r="H110" i="24" s="1"/>
  <c r="D107" i="24"/>
  <c r="D110" i="24" s="1"/>
  <c r="E92" i="24"/>
  <c r="E95" i="24" s="1"/>
  <c r="C92" i="24"/>
  <c r="C95" i="24" s="1"/>
  <c r="G92" i="24"/>
  <c r="G95" i="24" s="1"/>
  <c r="I92" i="24"/>
  <c r="I95" i="24" s="1"/>
  <c r="M92" i="24"/>
  <c r="M95" i="24" s="1"/>
  <c r="N92" i="24"/>
  <c r="N95" i="24" s="1"/>
  <c r="F92" i="24"/>
  <c r="F95" i="24" s="1"/>
  <c r="D92" i="24"/>
  <c r="D95" i="24" s="1"/>
  <c r="L92" i="24"/>
  <c r="L95" i="24" s="1"/>
  <c r="K92" i="24"/>
  <c r="K95" i="24" s="1"/>
  <c r="H92" i="24"/>
  <c r="H95" i="24" s="1"/>
  <c r="J92" i="24"/>
  <c r="J95" i="24" s="1"/>
  <c r="C132" i="12"/>
  <c r="C135" i="12" s="1"/>
  <c r="H132" i="12"/>
  <c r="H135" i="12" s="1"/>
  <c r="I132" i="12"/>
  <c r="I135" i="12" s="1"/>
  <c r="E132" i="12"/>
  <c r="L132" i="12"/>
  <c r="L135" i="12" s="1"/>
  <c r="F132" i="12"/>
  <c r="G132" i="12"/>
  <c r="G135" i="12" s="1"/>
  <c r="D132" i="12"/>
  <c r="D135" i="12" s="1"/>
  <c r="K132" i="12"/>
  <c r="K135" i="12" s="1"/>
  <c r="N132" i="12"/>
  <c r="N135" i="12" s="1"/>
  <c r="J132" i="12"/>
  <c r="J135" i="12" s="1"/>
  <c r="M132" i="12"/>
  <c r="M135" i="12" s="1"/>
  <c r="K122" i="24"/>
  <c r="K125" i="24" s="1"/>
  <c r="N122" i="24"/>
  <c r="N125" i="24" s="1"/>
  <c r="I122" i="24"/>
  <c r="I125" i="24" s="1"/>
  <c r="G122" i="24"/>
  <c r="G125" i="24" s="1"/>
  <c r="E122" i="24"/>
  <c r="E125" i="24" s="1"/>
  <c r="D122" i="24"/>
  <c r="D125" i="24" s="1"/>
  <c r="J122" i="24"/>
  <c r="J125" i="24" s="1"/>
  <c r="C122" i="24"/>
  <c r="C125" i="24" s="1"/>
  <c r="L122" i="24"/>
  <c r="L125" i="24" s="1"/>
  <c r="H122" i="24"/>
  <c r="H125" i="24" s="1"/>
  <c r="M122" i="24"/>
  <c r="M125" i="24" s="1"/>
  <c r="F122" i="24"/>
  <c r="F125" i="24" s="1"/>
  <c r="K127" i="12"/>
  <c r="K130" i="12" s="1"/>
  <c r="D127" i="12"/>
  <c r="F127" i="12"/>
  <c r="F130" i="12" s="1"/>
  <c r="C127" i="12"/>
  <c r="C130" i="12" s="1"/>
  <c r="J127" i="12"/>
  <c r="J130" i="12" s="1"/>
  <c r="M127" i="12"/>
  <c r="M130" i="12" s="1"/>
  <c r="E127" i="12"/>
  <c r="E130" i="12" s="1"/>
  <c r="G127" i="12"/>
  <c r="G130" i="12" s="1"/>
  <c r="H127" i="12"/>
  <c r="H130" i="12" s="1"/>
  <c r="I127" i="12"/>
  <c r="I130" i="12" s="1"/>
  <c r="N127" i="12"/>
  <c r="N130" i="12" s="1"/>
  <c r="L127" i="12"/>
  <c r="L130" i="12" s="1"/>
  <c r="K127" i="24"/>
  <c r="K130" i="24" s="1"/>
  <c r="J127" i="24"/>
  <c r="J130" i="24" s="1"/>
  <c r="G127" i="24"/>
  <c r="G130" i="24" s="1"/>
  <c r="E127" i="24"/>
  <c r="E130" i="24" s="1"/>
  <c r="D127" i="24"/>
  <c r="D130" i="24" s="1"/>
  <c r="C127" i="24"/>
  <c r="C130" i="24" s="1"/>
  <c r="N127" i="24"/>
  <c r="N130" i="24" s="1"/>
  <c r="L127" i="24"/>
  <c r="L130" i="24" s="1"/>
  <c r="M127" i="24"/>
  <c r="M130" i="24" s="1"/>
  <c r="H127" i="24"/>
  <c r="H130" i="24" s="1"/>
  <c r="I127" i="24"/>
  <c r="I130" i="24" s="1"/>
  <c r="I141" i="24" s="1"/>
  <c r="F127" i="24"/>
  <c r="F130" i="24" s="1"/>
  <c r="O155" i="24"/>
  <c r="M132" i="24"/>
  <c r="M135" i="24" s="1"/>
  <c r="K132" i="24"/>
  <c r="K135" i="24" s="1"/>
  <c r="N132" i="24"/>
  <c r="N135" i="24" s="1"/>
  <c r="J132" i="24"/>
  <c r="J135" i="24" s="1"/>
  <c r="E132" i="24"/>
  <c r="E135" i="24" s="1"/>
  <c r="L132" i="24"/>
  <c r="L135" i="24" s="1"/>
  <c r="C132" i="24"/>
  <c r="C135" i="24" s="1"/>
  <c r="G132" i="24"/>
  <c r="G135" i="24" s="1"/>
  <c r="H132" i="24"/>
  <c r="H135" i="24" s="1"/>
  <c r="H141" i="24" s="1"/>
  <c r="H156" i="24" s="1"/>
  <c r="H157" i="24" s="1"/>
  <c r="I132" i="24"/>
  <c r="I135" i="24" s="1"/>
  <c r="F132" i="24"/>
  <c r="F135" i="24" s="1"/>
  <c r="D132" i="24"/>
  <c r="D135" i="24" s="1"/>
  <c r="D122" i="12"/>
  <c r="L122" i="12"/>
  <c r="L125" i="12" s="1"/>
  <c r="H122" i="12"/>
  <c r="G122" i="12"/>
  <c r="K122" i="12"/>
  <c r="K125" i="12" s="1"/>
  <c r="I122" i="12"/>
  <c r="E122" i="12"/>
  <c r="N122" i="12"/>
  <c r="N125" i="12" s="1"/>
  <c r="J122" i="12"/>
  <c r="J125" i="12" s="1"/>
  <c r="F122" i="12"/>
  <c r="C122" i="12"/>
  <c r="M122" i="12"/>
  <c r="M125" i="12" s="1"/>
  <c r="N141" i="12" l="1"/>
  <c r="L22" i="24"/>
  <c r="L148" i="24" s="1"/>
  <c r="L149" i="24" s="1"/>
  <c r="H22" i="24"/>
  <c r="H148" i="24" s="1"/>
  <c r="H149" i="24" s="1"/>
  <c r="H159" i="24" s="1"/>
  <c r="E22" i="24"/>
  <c r="E148" i="24" s="1"/>
  <c r="E149" i="24" s="1"/>
  <c r="F22" i="24"/>
  <c r="F148" i="24" s="1"/>
  <c r="F149" i="24" s="1"/>
  <c r="G22" i="24"/>
  <c r="G148" i="24" s="1"/>
  <c r="G149" i="24" s="1"/>
  <c r="D150" i="24"/>
  <c r="D151" i="24" s="1"/>
  <c r="K150" i="24"/>
  <c r="K151" i="24" s="1"/>
  <c r="J150" i="24"/>
  <c r="J151" i="24" s="1"/>
  <c r="K22" i="24"/>
  <c r="K148" i="24" s="1"/>
  <c r="K149" i="24" s="1"/>
  <c r="I22" i="24"/>
  <c r="I148" i="24" s="1"/>
  <c r="I149" i="24" s="1"/>
  <c r="H150" i="24"/>
  <c r="H151" i="24" s="1"/>
  <c r="H160" i="24" s="1"/>
  <c r="L150" i="24"/>
  <c r="L151" i="24" s="1"/>
  <c r="F150" i="24"/>
  <c r="F151" i="24" s="1"/>
  <c r="C22" i="24"/>
  <c r="C148" i="24" s="1"/>
  <c r="D22" i="24"/>
  <c r="D148" i="24" s="1"/>
  <c r="D149" i="24" s="1"/>
  <c r="M22" i="24"/>
  <c r="M148" i="24" s="1"/>
  <c r="M149" i="24" s="1"/>
  <c r="E150" i="24"/>
  <c r="E151" i="24" s="1"/>
  <c r="G150" i="24"/>
  <c r="G151" i="24" s="1"/>
  <c r="M150" i="24"/>
  <c r="M151" i="24" s="1"/>
  <c r="M141" i="12"/>
  <c r="D141" i="24"/>
  <c r="D156" i="24" s="1"/>
  <c r="D157" i="24" s="1"/>
  <c r="G141" i="24"/>
  <c r="G156" i="24" s="1"/>
  <c r="G157" i="24" s="1"/>
  <c r="G159" i="24" s="1"/>
  <c r="J141" i="12"/>
  <c r="J156" i="12" s="1"/>
  <c r="K141" i="12"/>
  <c r="K156" i="12" s="1"/>
  <c r="K141" i="24"/>
  <c r="K156" i="24" s="1"/>
  <c r="K157" i="24" s="1"/>
  <c r="L141" i="12"/>
  <c r="L156" i="12" s="1"/>
  <c r="N150" i="24"/>
  <c r="N151" i="24" s="1"/>
  <c r="I150" i="24"/>
  <c r="I151" i="24" s="1"/>
  <c r="C150" i="24"/>
  <c r="J22" i="24"/>
  <c r="J148" i="24" s="1"/>
  <c r="J149" i="24" s="1"/>
  <c r="N22" i="24"/>
  <c r="N148" i="24" s="1"/>
  <c r="N149" i="24" s="1"/>
  <c r="L141" i="24"/>
  <c r="L156" i="24" s="1"/>
  <c r="L157" i="24" s="1"/>
  <c r="F141" i="24"/>
  <c r="F156" i="24" s="1"/>
  <c r="F157" i="24" s="1"/>
  <c r="I156" i="24"/>
  <c r="I157" i="24" s="1"/>
  <c r="M141" i="24"/>
  <c r="M156" i="24" s="1"/>
  <c r="M157" i="24" s="1"/>
  <c r="J141" i="24"/>
  <c r="J156" i="24" s="1"/>
  <c r="J157" i="24" s="1"/>
  <c r="E141" i="24"/>
  <c r="E156" i="24" s="1"/>
  <c r="E157" i="24" s="1"/>
  <c r="C141" i="24"/>
  <c r="C156" i="24" s="1"/>
  <c r="N141" i="24"/>
  <c r="N156" i="24" s="1"/>
  <c r="N157" i="24" s="1"/>
  <c r="F125" i="12"/>
  <c r="G125" i="12"/>
  <c r="D125" i="12"/>
  <c r="C120" i="12"/>
  <c r="C115" i="12"/>
  <c r="C110" i="12"/>
  <c r="C100" i="12"/>
  <c r="C105" i="12"/>
  <c r="C95" i="12"/>
  <c r="N90" i="12"/>
  <c r="C90" i="12"/>
  <c r="C85" i="12"/>
  <c r="K80" i="12"/>
  <c r="D115" i="12"/>
  <c r="L80" i="12"/>
  <c r="K100" i="12"/>
  <c r="F90" i="12"/>
  <c r="D100" i="12"/>
  <c r="M90" i="12"/>
  <c r="L85" i="12"/>
  <c r="I115" i="12"/>
  <c r="G115" i="12"/>
  <c r="J110" i="12"/>
  <c r="M115" i="12"/>
  <c r="F105" i="12"/>
  <c r="L105" i="12"/>
  <c r="F100" i="12"/>
  <c r="L120" i="12"/>
  <c r="J115" i="12"/>
  <c r="H110" i="12"/>
  <c r="F115" i="12"/>
  <c r="M80" i="12"/>
  <c r="G100" i="12"/>
  <c r="N105" i="12"/>
  <c r="L100" i="12"/>
  <c r="I90" i="12"/>
  <c r="G90" i="12"/>
  <c r="E90" i="12"/>
  <c r="K95" i="12"/>
  <c r="I85" i="12"/>
  <c r="G85" i="12"/>
  <c r="I80" i="12"/>
  <c r="G80" i="12"/>
  <c r="D120" i="12"/>
  <c r="N120" i="12"/>
  <c r="I105" i="12"/>
  <c r="E105" i="12"/>
  <c r="L110" i="12"/>
  <c r="G95" i="12"/>
  <c r="H105" i="12"/>
  <c r="K105" i="12"/>
  <c r="E110" i="12"/>
  <c r="K115" i="12"/>
  <c r="D85" i="12"/>
  <c r="K85" i="12"/>
  <c r="D80" i="12"/>
  <c r="D90" i="12"/>
  <c r="M110" i="12"/>
  <c r="J120" i="12"/>
  <c r="H115" i="12"/>
  <c r="F120" i="12"/>
  <c r="N80" i="12"/>
  <c r="J105" i="12"/>
  <c r="I95" i="12"/>
  <c r="N85" i="12"/>
  <c r="K120" i="12"/>
  <c r="I110" i="12"/>
  <c r="G110" i="12"/>
  <c r="M105" i="12"/>
  <c r="H90" i="12"/>
  <c r="F95" i="12"/>
  <c r="L95" i="12"/>
  <c r="H85" i="12"/>
  <c r="J85" i="12"/>
  <c r="H80" i="12"/>
  <c r="E120" i="12"/>
  <c r="L115" i="12"/>
  <c r="G105" i="12"/>
  <c r="I100" i="12"/>
  <c r="F80" i="12"/>
  <c r="C80" i="12"/>
  <c r="E95" i="12"/>
  <c r="E100" i="12"/>
  <c r="D105" i="12"/>
  <c r="D95" i="12"/>
  <c r="K110" i="12"/>
  <c r="M100" i="12"/>
  <c r="M95" i="12"/>
  <c r="H120" i="12"/>
  <c r="M120" i="12"/>
  <c r="F85" i="12"/>
  <c r="J80" i="12"/>
  <c r="E115" i="12"/>
  <c r="H100" i="12"/>
  <c r="N110" i="12"/>
  <c r="H95" i="12"/>
  <c r="M85" i="12"/>
  <c r="D110" i="12"/>
  <c r="N115" i="12"/>
  <c r="J95" i="12"/>
  <c r="N100" i="12"/>
  <c r="E85" i="12"/>
  <c r="N95" i="12"/>
  <c r="L90" i="12"/>
  <c r="G120" i="12"/>
  <c r="E80" i="12"/>
  <c r="F110" i="12"/>
  <c r="J100" i="12"/>
  <c r="J90" i="12"/>
  <c r="I125" i="12"/>
  <c r="I141" i="12" s="1"/>
  <c r="D130" i="12"/>
  <c r="H125" i="12"/>
  <c r="H141" i="12" s="1"/>
  <c r="I65" i="12"/>
  <c r="N21" i="12"/>
  <c r="G65" i="12"/>
  <c r="F75" i="12"/>
  <c r="L21" i="12"/>
  <c r="J16" i="12"/>
  <c r="M16" i="12"/>
  <c r="F16" i="12"/>
  <c r="E125" i="12"/>
  <c r="I75" i="12"/>
  <c r="G75" i="12"/>
  <c r="J65" i="12"/>
  <c r="N70" i="12"/>
  <c r="F135" i="12"/>
  <c r="L70" i="12"/>
  <c r="K75" i="12"/>
  <c r="G70" i="12"/>
  <c r="G11" i="12"/>
  <c r="H75" i="12"/>
  <c r="L75" i="12"/>
  <c r="D65" i="12"/>
  <c r="M75" i="12"/>
  <c r="K21" i="12"/>
  <c r="C125" i="12"/>
  <c r="H16" i="12"/>
  <c r="J21" i="12"/>
  <c r="J75" i="12"/>
  <c r="H70" i="12"/>
  <c r="M65" i="12"/>
  <c r="H11" i="12"/>
  <c r="F11" i="12"/>
  <c r="F65" i="12"/>
  <c r="E75" i="12"/>
  <c r="I16" i="12"/>
  <c r="L16" i="12"/>
  <c r="J11" i="12"/>
  <c r="H65" i="12"/>
  <c r="E65" i="12"/>
  <c r="J70" i="12"/>
  <c r="G16" i="12"/>
  <c r="D21" i="12"/>
  <c r="I70" i="12"/>
  <c r="N65" i="12"/>
  <c r="E11" i="12"/>
  <c r="N11" i="12"/>
  <c r="D75" i="12"/>
  <c r="F70" i="12"/>
  <c r="I21" i="12"/>
  <c r="M70" i="12"/>
  <c r="E16" i="12"/>
  <c r="K11" i="12"/>
  <c r="E21" i="12"/>
  <c r="L65" i="12"/>
  <c r="K70" i="12"/>
  <c r="D16" i="12"/>
  <c r="E70" i="12"/>
  <c r="M11" i="12"/>
  <c r="K65" i="12"/>
  <c r="G21" i="12"/>
  <c r="F21" i="12"/>
  <c r="I11" i="12"/>
  <c r="D70" i="12"/>
  <c r="K16" i="12"/>
  <c r="D11" i="12"/>
  <c r="N16" i="12"/>
  <c r="L11" i="12"/>
  <c r="N75" i="12"/>
  <c r="H21" i="12"/>
  <c r="K159" i="24" l="1"/>
  <c r="D160" i="24"/>
  <c r="K160" i="24"/>
  <c r="G160" i="24"/>
  <c r="D159" i="24"/>
  <c r="C151" i="24"/>
  <c r="O151" i="24" s="1"/>
  <c r="O150" i="24"/>
  <c r="O148" i="24"/>
  <c r="C149" i="24"/>
  <c r="O149" i="24" s="1"/>
  <c r="M159" i="24"/>
  <c r="M160" i="24"/>
  <c r="O156" i="24"/>
  <c r="C157" i="24"/>
  <c r="I159" i="24"/>
  <c r="I160" i="24"/>
  <c r="E159" i="24"/>
  <c r="E160" i="24"/>
  <c r="F159" i="24"/>
  <c r="F160" i="24"/>
  <c r="N159" i="24"/>
  <c r="N160" i="24"/>
  <c r="J159" i="24"/>
  <c r="J160" i="24"/>
  <c r="L159" i="24"/>
  <c r="L160" i="24"/>
  <c r="N137" i="12"/>
  <c r="M137" i="12"/>
  <c r="L137" i="12"/>
  <c r="J137" i="12"/>
  <c r="D137" i="12"/>
  <c r="G137" i="12"/>
  <c r="D141" i="12"/>
  <c r="D156" i="12" s="1"/>
  <c r="E137" i="12"/>
  <c r="E150" i="12" s="1"/>
  <c r="F137" i="12"/>
  <c r="F150" i="12" s="1"/>
  <c r="C141" i="12"/>
  <c r="C156" i="12" s="1"/>
  <c r="M156" i="12"/>
  <c r="G141" i="12"/>
  <c r="G156" i="12" s="1"/>
  <c r="H137" i="12"/>
  <c r="H150" i="12" s="1"/>
  <c r="N156" i="12"/>
  <c r="F141" i="12"/>
  <c r="F156" i="12" s="1"/>
  <c r="E135" i="12"/>
  <c r="E141" i="12" s="1"/>
  <c r="H156" i="12"/>
  <c r="I156" i="12"/>
  <c r="K90" i="12"/>
  <c r="K137" i="12" s="1"/>
  <c r="I120" i="12"/>
  <c r="I137" i="12" s="1"/>
  <c r="N22" i="12"/>
  <c r="N148" i="12" s="1"/>
  <c r="C65" i="12"/>
  <c r="M154" i="12"/>
  <c r="M155" i="12" s="1"/>
  <c r="J22" i="12"/>
  <c r="J148" i="12" s="1"/>
  <c r="C11" i="12"/>
  <c r="M21" i="12"/>
  <c r="C70" i="12"/>
  <c r="C75" i="12"/>
  <c r="L22" i="12"/>
  <c r="L148" i="12" s="1"/>
  <c r="C16" i="12"/>
  <c r="I154" i="12"/>
  <c r="I155" i="12" s="1"/>
  <c r="F154" i="12"/>
  <c r="F155" i="12" s="1"/>
  <c r="E22" i="12"/>
  <c r="E148" i="12" s="1"/>
  <c r="F22" i="12"/>
  <c r="F148" i="12" s="1"/>
  <c r="I22" i="12"/>
  <c r="I148" i="12" s="1"/>
  <c r="D22" i="12"/>
  <c r="D148" i="12" s="1"/>
  <c r="G154" i="12"/>
  <c r="G155" i="12" s="1"/>
  <c r="N154" i="12"/>
  <c r="N155" i="12" s="1"/>
  <c r="J154" i="12"/>
  <c r="D154" i="12"/>
  <c r="D155" i="12" s="1"/>
  <c r="K22" i="12"/>
  <c r="K148" i="12" s="1"/>
  <c r="G22" i="12"/>
  <c r="G148" i="12" s="1"/>
  <c r="G149" i="12" s="1"/>
  <c r="H154" i="12"/>
  <c r="H155" i="12" s="1"/>
  <c r="H22" i="12"/>
  <c r="H148" i="12" s="1"/>
  <c r="E154" i="12"/>
  <c r="E155" i="12" s="1"/>
  <c r="L154" i="12"/>
  <c r="C160" i="24" l="1"/>
  <c r="C159" i="24"/>
  <c r="O157" i="24"/>
  <c r="J155" i="12"/>
  <c r="J157" i="12" s="1"/>
  <c r="L155" i="12"/>
  <c r="L157" i="12" s="1"/>
  <c r="L149" i="12"/>
  <c r="J149" i="12"/>
  <c r="D149" i="12"/>
  <c r="N149" i="12"/>
  <c r="N157" i="12"/>
  <c r="H149" i="12"/>
  <c r="G157" i="12"/>
  <c r="G159" i="12" s="1"/>
  <c r="E149" i="12"/>
  <c r="I150" i="12"/>
  <c r="M157" i="12"/>
  <c r="E156" i="12"/>
  <c r="E157" i="12" s="1"/>
  <c r="C137" i="12"/>
  <c r="D157" i="12"/>
  <c r="H157" i="12"/>
  <c r="F157" i="12"/>
  <c r="J150" i="12"/>
  <c r="J151" i="12" s="1"/>
  <c r="K150" i="12"/>
  <c r="G150" i="12"/>
  <c r="G151" i="12" s="1"/>
  <c r="L150" i="12"/>
  <c r="L151" i="12" s="1"/>
  <c r="D150" i="12"/>
  <c r="D151" i="12" s="1"/>
  <c r="N150" i="12"/>
  <c r="N151" i="12" s="1"/>
  <c r="I157" i="12"/>
  <c r="C154" i="12"/>
  <c r="C155" i="12" s="1"/>
  <c r="F149" i="12"/>
  <c r="M22" i="12"/>
  <c r="M148" i="12" s="1"/>
  <c r="C21" i="12"/>
  <c r="I149" i="12"/>
  <c r="O146" i="12"/>
  <c r="O154" i="12" s="1"/>
  <c r="H151" i="12"/>
  <c r="K154" i="12"/>
  <c r="K149" i="12"/>
  <c r="E151" i="12"/>
  <c r="N6" i="7"/>
  <c r="O160" i="24" l="1"/>
  <c r="C1" i="24" s="1"/>
  <c r="O159" i="24"/>
  <c r="O161" i="24"/>
  <c r="P148" i="24"/>
  <c r="P149" i="24" s="1"/>
  <c r="L159" i="12"/>
  <c r="J160" i="12"/>
  <c r="L160" i="12"/>
  <c r="K155" i="12"/>
  <c r="O155" i="12" s="1"/>
  <c r="J159" i="12"/>
  <c r="N160" i="12"/>
  <c r="G160" i="12"/>
  <c r="F159" i="12"/>
  <c r="I159" i="12"/>
  <c r="M149" i="12"/>
  <c r="M159" i="12" s="1"/>
  <c r="D159" i="12"/>
  <c r="H159" i="12"/>
  <c r="E159" i="12"/>
  <c r="N159" i="12"/>
  <c r="D160" i="12"/>
  <c r="H160" i="12"/>
  <c r="M150" i="12"/>
  <c r="M151" i="12" s="1"/>
  <c r="M160" i="12" s="1"/>
  <c r="F151" i="12"/>
  <c r="F160" i="12" s="1"/>
  <c r="E160" i="12"/>
  <c r="I151" i="12"/>
  <c r="I160" i="12" s="1"/>
  <c r="C150" i="12"/>
  <c r="C22" i="12"/>
  <c r="C148" i="12" s="1"/>
  <c r="K151" i="12"/>
  <c r="O147" i="12"/>
  <c r="C157" i="12"/>
  <c r="O156" i="12"/>
  <c r="O162" i="24" l="1"/>
  <c r="C3" i="24" s="1"/>
  <c r="C2" i="24"/>
  <c r="K157" i="12"/>
  <c r="K159" i="12" s="1"/>
  <c r="C149" i="12"/>
  <c r="O149" i="12" s="1"/>
  <c r="O148" i="12"/>
  <c r="O150" i="12"/>
  <c r="C151" i="12"/>
  <c r="O151" i="12" s="1"/>
  <c r="K160" i="12" l="1"/>
  <c r="O157" i="12"/>
  <c r="P148" i="12" s="1"/>
  <c r="P149" i="12" s="1"/>
  <c r="C159" i="12"/>
  <c r="C160" i="12"/>
  <c r="O160" i="12" l="1"/>
  <c r="C1" i="12" s="1"/>
  <c r="O161" i="12"/>
  <c r="O162" i="12" s="1"/>
  <c r="C3" i="12" s="1"/>
  <c r="O159" i="12"/>
  <c r="C2" i="12" l="1"/>
</calcChain>
</file>

<file path=xl/sharedStrings.xml><?xml version="1.0" encoding="utf-8"?>
<sst xmlns="http://schemas.openxmlformats.org/spreadsheetml/2006/main" count="520" uniqueCount="134">
  <si>
    <t>Month</t>
  </si>
  <si>
    <t>Average</t>
  </si>
  <si>
    <t>Totals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</si>
  <si>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</si>
  <si>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</si>
  <si>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</si>
  <si>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</si>
  <si>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</si>
  <si>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</si>
  <si>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</si>
  <si>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</si>
  <si>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</si>
  <si>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December</t>
  </si>
  <si>
    <t>July</t>
  </si>
  <si>
    <t>November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</si>
  <si>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</si>
  <si>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</si>
  <si>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</si>
  <si>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</si>
  <si>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</si>
  <si>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</si>
  <si>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</si>
  <si>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</si>
  <si>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</si>
  <si>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</si>
  <si>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</si>
  <si>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</si>
  <si>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Nameplate kW</t>
  </si>
  <si>
    <t>Assumed Efficiency:</t>
  </si>
  <si>
    <t>Avg Operating Head:</t>
  </si>
  <si>
    <t>Avg. kW = (Avg. Operating Head x Avg. Flow (CFS) x Efficiency) / 11.8</t>
  </si>
  <si>
    <t>% Change, Base to New - Capped - Hist Base</t>
  </si>
  <si>
    <t>% Change, Base to New - Capped - Ex Base</t>
  </si>
  <si>
    <t>MWH, Long-Term Avg. - Capped</t>
  </si>
  <si>
    <t>Average MWH/Capped Flow (cfs)</t>
  </si>
  <si>
    <t>Capped Long Term Flow (cfs)</t>
  </si>
  <si>
    <t>Post Improvement Period</t>
  </si>
  <si>
    <t>MWH, Long-Term Avg. - Capped - Ex Base</t>
  </si>
  <si>
    <t>Average MWH/Capped Flow (cfs) - Ex Base</t>
  </si>
  <si>
    <t>MWH, Long-Term Avg. - Capped Hist Base</t>
  </si>
  <si>
    <t>Average MWH/Capped Flow (cfs) - Hist Base</t>
  </si>
  <si>
    <t>Baseline Period</t>
  </si>
  <si>
    <t>MWH/Capped cfs</t>
  </si>
  <si>
    <t>Capped Flow (cfs)</t>
  </si>
  <si>
    <t>Generation (MWH)</t>
  </si>
  <si>
    <t>Flow (cfs)</t>
  </si>
  <si>
    <t>Drainage Area Adjustment:</t>
  </si>
  <si>
    <t>Average  Flow (cfs) at facility</t>
  </si>
  <si>
    <t>&lt;--- Pre-improvement flow cap</t>
  </si>
  <si>
    <t>Monthly Generation (MWh) Over Historical Baseline Period (1995 -- 1997) and any Extended Baseline and Post Improvement Period</t>
  </si>
  <si>
    <t>Percent New</t>
  </si>
  <si>
    <t>Percent Existing</t>
  </si>
  <si>
    <t>Percent Change from Baseline</t>
  </si>
  <si>
    <t>Pre</t>
  </si>
  <si>
    <t>Post</t>
  </si>
  <si>
    <t>cfs that produces MW</t>
  </si>
  <si>
    <t>cfs</t>
  </si>
  <si>
    <t>BEFORE ANY OUTLIER ADJUSTMENTS</t>
  </si>
  <si>
    <t>FACILITY NAME:</t>
  </si>
  <si>
    <t>Long Term Avg. Flow:</t>
  </si>
  <si>
    <t>1991-2012</t>
  </si>
  <si>
    <t xml:space="preserve">Pre-Upgrade Historical Baseline Period </t>
  </si>
  <si>
    <t>Extended Pre-Upgrade Period &amp; Post-Upgrade Period</t>
  </si>
  <si>
    <t>Average MWH/Capped Flow - Extended Pre-Upgrade</t>
  </si>
  <si>
    <t>Average MWH/Capped Flow - Post Upgrade Period</t>
  </si>
  <si>
    <t>Long Term Flow at Dam (per USGS data)</t>
  </si>
  <si>
    <t>Average MWH/Capped Flow - Historical Baseline</t>
  </si>
  <si>
    <t>Monthly Capped Generation (MWH)</t>
  </si>
  <si>
    <t>Flow Cap</t>
  </si>
  <si>
    <t>Gen Cap</t>
  </si>
  <si>
    <t>&lt;--- Post-improvement flow cap</t>
  </si>
  <si>
    <t>Post Upgrade Period Begins:</t>
  </si>
  <si>
    <t>New</t>
  </si>
  <si>
    <t>Existing</t>
  </si>
  <si>
    <t>AFTER OUTLIER ADJUSTMENTS</t>
  </si>
  <si>
    <t>Outlier Cells Removed:</t>
  </si>
  <si>
    <t>120</t>
  </si>
  <si>
    <t>120 added</t>
  </si>
  <si>
    <t xml:space="preserve"> &lt;-- Post starts 12/09</t>
  </si>
  <si>
    <t>River &amp; Town Where USGS Gage is located</t>
  </si>
  <si>
    <t>USGS Gage #</t>
  </si>
  <si>
    <t>Average Monthly Streamflow at  Closest USGS Gage (cfs) &lt;-- FOR AT LEAST THE MOST RECENT 20 YEARS OF FLOW DATA HISTORY</t>
  </si>
  <si>
    <t>Drainage Area @ Gage ( in Square Miles)</t>
  </si>
  <si>
    <t xml:space="preserve">Adjusted Average Monthly Streamflow at Project Site  (cfs)   </t>
  </si>
  <si>
    <t>Drainage Area at Site (in Square Miles)</t>
  </si>
  <si>
    <t>XXX River @ Town</t>
  </si>
  <si>
    <t>XXXXXXXX</t>
  </si>
  <si>
    <t>Pre-Improvement Period</t>
  </si>
  <si>
    <t>Pre-Improvement - Historical Baseline Period</t>
  </si>
  <si>
    <t>Post-Improvement Period</t>
  </si>
  <si>
    <t>Facility Name</t>
  </si>
  <si>
    <t>XXXXXX Hydro Project</t>
  </si>
  <si>
    <t>Total</t>
  </si>
  <si>
    <t>Pre-Improvement MWh/Mo</t>
  </si>
  <si>
    <t>Post-Improvement MWh/Mo</t>
  </si>
  <si>
    <t xml:space="preserve">Days per Month: </t>
  </si>
  <si>
    <t>Average MWH/Capped Flow (cfs) - Historical Base</t>
  </si>
  <si>
    <t>MWH, Long-Term Avg. - Capped Historical Base</t>
  </si>
  <si>
    <t>Average MWH/Capped Flow (cfs) - Extended Base</t>
  </si>
  <si>
    <t>MWH, Long-Term Avg. - Capped - Extended Base</t>
  </si>
  <si>
    <t>% Change, Base to New - Capped - Extended Base</t>
  </si>
  <si>
    <t>% Change, Base to New - Capped - Historical Base</t>
  </si>
  <si>
    <t>Please consider the following steps when using this spreadsheet:</t>
  </si>
  <si>
    <t>1) Monthly Historical Flow-Gen Tab:</t>
  </si>
  <si>
    <t>Please Note:</t>
  </si>
  <si>
    <t>Fields shaded in BLUE denote areas where applicant data entry may be required</t>
  </si>
  <si>
    <t xml:space="preserve"> - Enter the gaging station # and its associated drainage area in the appropriate place</t>
  </si>
  <si>
    <t>2) Average Historical Flow Tab:</t>
  </si>
  <si>
    <t xml:space="preserve"> - No input/actions required</t>
  </si>
  <si>
    <t>3) CFS Limit Calculations Tab:</t>
  </si>
  <si>
    <t xml:space="preserve"> - Enter the average operating head, efficiency (water-to-wires), and nameplate capacity of the entire facility for both pre- and post-improvement periods, in the appropriate cells</t>
  </si>
  <si>
    <t>4) Calculations Tab:</t>
  </si>
  <si>
    <t xml:space="preserve"> - In the appropriate Row in Column P, enter the word "Post" in the 1st year that the Post-Improvement period begins</t>
  </si>
  <si>
    <t xml:space="preserve"> - In Column F, Row 24, please note the month, day and year (i.e., 1/1/2010) that Post-Improvement operations first began</t>
  </si>
  <si>
    <t xml:space="preserve"> - Adjusted flows are calculated automatically, based on the drainage area ratio</t>
  </si>
  <si>
    <t xml:space="preserve"> - Enter the most recent 20 years of historical monthly flow records using USGS data at the closest USGS stream gaging station</t>
  </si>
  <si>
    <t>5) Calculations - Outliers Removed Tab:</t>
  </si>
  <si>
    <t xml:space="preserve"> - In this Tab, applicant can review, red flag and remove outliers that are not representative of generation in specific months</t>
  </si>
  <si>
    <t xml:space="preserve"> - Cells immediately below each formula edit should be used to document what cells were removed</t>
  </si>
  <si>
    <t xml:space="preserve"> - Percent Change from Baseline and Percent Existing/Percent New are calculated automatically and shown in Cells C1, C2 &amp; C3</t>
  </si>
  <si>
    <t xml:space="preserve"> - Percent Change from Baseline and Percent Existing/Percent New are calculated automatically - before any adjustments</t>
  </si>
  <si>
    <t xml:space="preserve">If questions, contact Scott Albert, GDS Principal &amp; Region Manager at:
603-656-0336, or by email at scott.albert@gdsassociates.com </t>
  </si>
  <si>
    <t>Hydroelectric Facilities - RI-RER Existing/New Percentage Determination Spreadsheet Template</t>
  </si>
  <si>
    <t>This multi-tabbed spreadsheet is provided to guide applicants through a consistent approach for determining existing vs. new percentages for RI RER-eligible hydroelectric generation facilities</t>
  </si>
  <si>
    <t xml:space="preserve"> - Enter the drainage area associated with the hydroelectric generation facilities dam location</t>
  </si>
  <si>
    <t xml:space="preserve"> - Starting in Row 55, enter the actual monthly generation from the facility during the pre- and post-improvement period</t>
  </si>
  <si>
    <t xml:space="preserve"> - Formulas in Rows 137 and 141 can be edited manually, to remove outlier cells from the "Average" calculations</t>
  </si>
  <si>
    <t>Pre-Improvement - Extended Baseline Period</t>
  </si>
  <si>
    <t>Prepared by GDS Associates, Inc. for the RI Public Utilities Commission</t>
  </si>
  <si>
    <t xml:space="preserve"> - Enter the name of the applicant's hydroelectric generation facility</t>
  </si>
  <si>
    <t xml:space="preserve"> - Enter the river and city/town where the USGS gage is located</t>
  </si>
  <si>
    <t>55,65</t>
  </si>
  <si>
    <t>60</t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</si>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</sst>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"/>
    <numFmt numFmtId="165" formatCode="#,##0.0000"/>
    <numFmt numFmtId="166" formatCode="_(* #,##0_);_(* \(#,##0\);_(* &quot;-&quot;??_);_(@_)"/>
    <numFmt numFmtId="167" formatCode="#,##0.000_);[Red]\(#,##0.000\)"/>
    <numFmt numFmtId="168" formatCode="0.0%"/>
    <numFmt numFmtId="169" formatCode="#,##0.0000_);[Red]\(#,##0.000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Verdana"/>
      <family val="2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3" borderId="0" applyNumberFormat="0" applyBorder="0" applyAlignment="0" applyProtection="0"/>
    <xf numFmtId="43" fontId="21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ill="1"/>
    <xf numFmtId="164" fontId="3" fillId="0" borderId="0" xfId="0" applyNumberFormat="1" applyFont="1"/>
    <xf numFmtId="165" fontId="3" fillId="0" borderId="0" xfId="0" applyNumberFormat="1" applyFont="1"/>
    <xf numFmtId="0" fontId="8" fillId="0" borderId="0" xfId="1" applyFont="1" applyAlignment="1">
      <alignment horizontal="centerContinuous"/>
    </xf>
    <xf numFmtId="0" fontId="7" fillId="0" borderId="0" xfId="1"/>
    <xf numFmtId="0" fontId="8" fillId="0" borderId="0" xfId="1" applyFont="1" applyAlignment="1">
      <alignment horizontal="centerContinuous" vertical="center"/>
    </xf>
    <xf numFmtId="0" fontId="7" fillId="0" borderId="0" xfId="1" applyAlignment="1">
      <alignment horizontal="centerContinuous" vertical="center"/>
    </xf>
    <xf numFmtId="0" fontId="8" fillId="0" borderId="0" xfId="1" applyFont="1" applyAlignment="1">
      <alignment horizontal="center"/>
    </xf>
    <xf numFmtId="0" fontId="9" fillId="0" borderId="0" xfId="1" applyFont="1"/>
    <xf numFmtId="0" fontId="8" fillId="0" borderId="0" xfId="1" applyFont="1"/>
    <xf numFmtId="3" fontId="10" fillId="0" borderId="0" xfId="1" applyNumberFormat="1" applyFont="1"/>
    <xf numFmtId="3" fontId="7" fillId="0" borderId="0" xfId="1" applyNumberFormat="1"/>
    <xf numFmtId="9" fontId="7" fillId="0" borderId="0" xfId="1" applyNumberFormat="1"/>
    <xf numFmtId="0" fontId="7" fillId="0" borderId="0" xfId="1" applyFill="1"/>
    <xf numFmtId="0" fontId="10" fillId="0" borderId="0" xfId="1" applyFont="1" applyFill="1" applyAlignment="1">
      <alignment horizontal="right"/>
    </xf>
    <xf numFmtId="0" fontId="10" fillId="0" borderId="0" xfId="1" applyFont="1" applyAlignment="1">
      <alignment horizontal="right"/>
    </xf>
    <xf numFmtId="9" fontId="10" fillId="0" borderId="0" xfId="2" applyNumberFormat="1" applyFont="1" applyFill="1" applyBorder="1" applyAlignment="1">
      <alignment horizontal="center"/>
    </xf>
    <xf numFmtId="9" fontId="8" fillId="0" borderId="0" xfId="2" applyNumberFormat="1" applyFont="1" applyFill="1" applyBorder="1" applyAlignment="1">
      <alignment horizontal="center"/>
    </xf>
    <xf numFmtId="0" fontId="7" fillId="0" borderId="0" xfId="1" applyFill="1" applyBorder="1"/>
    <xf numFmtId="0" fontId="7" fillId="0" borderId="16" xfId="1" applyBorder="1"/>
    <xf numFmtId="0" fontId="7" fillId="0" borderId="0" xfId="1" applyBorder="1"/>
    <xf numFmtId="166" fontId="8" fillId="0" borderId="0" xfId="1" applyNumberFormat="1" applyFont="1" applyFill="1" applyBorder="1"/>
    <xf numFmtId="166" fontId="8" fillId="0" borderId="5" xfId="1" applyNumberFormat="1" applyFont="1" applyBorder="1"/>
    <xf numFmtId="166" fontId="8" fillId="0" borderId="17" xfId="3" applyNumberFormat="1" applyFont="1" applyBorder="1"/>
    <xf numFmtId="166" fontId="8" fillId="0" borderId="3" xfId="3" applyNumberFormat="1" applyFont="1" applyBorder="1"/>
    <xf numFmtId="167" fontId="7" fillId="0" borderId="0" xfId="1" applyNumberFormat="1" applyFill="1" applyBorder="1"/>
    <xf numFmtId="38" fontId="7" fillId="0" borderId="0" xfId="1" applyNumberFormat="1" applyFill="1" applyBorder="1"/>
    <xf numFmtId="38" fontId="10" fillId="0" borderId="8" xfId="1" applyNumberFormat="1" applyFont="1" applyFill="1" applyBorder="1"/>
    <xf numFmtId="38" fontId="10" fillId="0" borderId="9" xfId="1" applyNumberFormat="1" applyFont="1" applyFill="1" applyBorder="1"/>
    <xf numFmtId="166" fontId="11" fillId="0" borderId="0" xfId="1" applyNumberFormat="1" applyFont="1" applyFill="1" applyBorder="1"/>
    <xf numFmtId="166" fontId="7" fillId="0" borderId="0" xfId="1" applyNumberFormat="1" applyFill="1" applyBorder="1"/>
    <xf numFmtId="0" fontId="8" fillId="0" borderId="0" xfId="1" applyFont="1" applyFill="1" applyBorder="1" applyAlignment="1">
      <alignment horizontal="center"/>
    </xf>
    <xf numFmtId="38" fontId="10" fillId="0" borderId="7" xfId="1" applyNumberFormat="1" applyFont="1" applyFill="1" applyBorder="1"/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0" xfId="1" applyFont="1" applyFill="1" applyBorder="1"/>
    <xf numFmtId="167" fontId="7" fillId="0" borderId="0" xfId="1" applyNumberFormat="1" applyBorder="1"/>
    <xf numFmtId="0" fontId="7" fillId="0" borderId="0" xfId="1" applyFont="1" applyFill="1" applyBorder="1"/>
    <xf numFmtId="0" fontId="8" fillId="0" borderId="29" xfId="1" applyFont="1" applyFill="1" applyBorder="1"/>
    <xf numFmtId="0" fontId="8" fillId="0" borderId="32" xfId="1" applyFont="1" applyBorder="1" applyAlignment="1">
      <alignment horizontal="center" vertical="center"/>
    </xf>
    <xf numFmtId="38" fontId="10" fillId="0" borderId="25" xfId="1" applyNumberFormat="1" applyFont="1" applyFill="1" applyBorder="1"/>
    <xf numFmtId="38" fontId="10" fillId="0" borderId="18" xfId="1" applyNumberFormat="1" applyFont="1" applyFill="1" applyBorder="1"/>
    <xf numFmtId="38" fontId="10" fillId="0" borderId="33" xfId="1" applyNumberFormat="1" applyFont="1" applyFill="1" applyBorder="1"/>
    <xf numFmtId="0" fontId="7" fillId="0" borderId="31" xfId="1" applyFill="1" applyBorder="1"/>
    <xf numFmtId="166" fontId="10" fillId="0" borderId="0" xfId="3" applyNumberFormat="1" applyFont="1"/>
    <xf numFmtId="0" fontId="8" fillId="0" borderId="36" xfId="1" applyFont="1" applyFill="1" applyBorder="1"/>
    <xf numFmtId="3" fontId="10" fillId="0" borderId="0" xfId="1" applyNumberFormat="1" applyFont="1" applyAlignment="1">
      <alignment horizontal="center"/>
    </xf>
    <xf numFmtId="3" fontId="10" fillId="0" borderId="0" xfId="1" applyNumberFormat="1" applyFont="1" applyFill="1" applyBorder="1" applyAlignment="1">
      <alignment horizontal="center"/>
    </xf>
    <xf numFmtId="1" fontId="13" fillId="0" borderId="0" xfId="1" applyNumberFormat="1" applyFont="1" applyFill="1" applyAlignment="1">
      <alignment horizontal="center"/>
    </xf>
    <xf numFmtId="1" fontId="13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164" fontId="2" fillId="0" borderId="0" xfId="1" applyNumberFormat="1" applyFont="1"/>
    <xf numFmtId="38" fontId="7" fillId="0" borderId="37" xfId="1" applyNumberFormat="1" applyFill="1" applyBorder="1"/>
    <xf numFmtId="0" fontId="8" fillId="0" borderId="27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3" fontId="3" fillId="0" borderId="0" xfId="1" applyNumberFormat="1" applyFont="1" applyFill="1"/>
    <xf numFmtId="3" fontId="2" fillId="0" borderId="0" xfId="1" applyNumberFormat="1" applyFont="1"/>
    <xf numFmtId="0" fontId="15" fillId="0" borderId="0" xfId="1" applyFont="1" applyAlignment="1">
      <alignment horizontal="centerContinuous" vertical="center"/>
    </xf>
    <xf numFmtId="3" fontId="7" fillId="0" borderId="0" xfId="1" applyNumberFormat="1" applyFill="1"/>
    <xf numFmtId="0" fontId="7" fillId="0" borderId="34" xfId="1" applyBorder="1"/>
    <xf numFmtId="0" fontId="14" fillId="0" borderId="0" xfId="1" applyFont="1" applyAlignment="1">
      <alignment horizontal="center"/>
    </xf>
    <xf numFmtId="3" fontId="2" fillId="0" borderId="0" xfId="1" applyNumberFormat="1" applyFont="1" applyFill="1"/>
    <xf numFmtId="0" fontId="7" fillId="0" borderId="0" xfId="1" applyFill="1" applyAlignment="1">
      <alignment horizontal="centerContinuous" vertical="center"/>
    </xf>
    <xf numFmtId="0" fontId="7" fillId="0" borderId="40" xfId="1" applyBorder="1"/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3" fontId="0" fillId="0" borderId="0" xfId="0" applyNumberFormat="1"/>
    <xf numFmtId="38" fontId="10" fillId="0" borderId="19" xfId="1" applyNumberFormat="1" applyFont="1" applyFill="1" applyBorder="1"/>
    <xf numFmtId="38" fontId="10" fillId="0" borderId="24" xfId="1" applyNumberFormat="1" applyFont="1" applyFill="1" applyBorder="1"/>
    <xf numFmtId="38" fontId="10" fillId="0" borderId="35" xfId="1" applyNumberFormat="1" applyFont="1" applyFill="1" applyBorder="1"/>
    <xf numFmtId="166" fontId="8" fillId="0" borderId="30" xfId="3" applyNumberFormat="1" applyFont="1" applyBorder="1"/>
    <xf numFmtId="3" fontId="5" fillId="0" borderId="0" xfId="0" applyNumberFormat="1" applyFont="1" applyFill="1"/>
    <xf numFmtId="0" fontId="7" fillId="0" borderId="32" xfId="1" applyBorder="1"/>
    <xf numFmtId="38" fontId="10" fillId="0" borderId="39" xfId="1" applyNumberFormat="1" applyFont="1" applyFill="1" applyBorder="1"/>
    <xf numFmtId="38" fontId="10" fillId="0" borderId="13" xfId="1" applyNumberFormat="1" applyFont="1" applyFill="1" applyBorder="1"/>
    <xf numFmtId="38" fontId="10" fillId="0" borderId="12" xfId="1" applyNumberFormat="1" applyFont="1" applyFill="1" applyBorder="1"/>
    <xf numFmtId="38" fontId="10" fillId="0" borderId="6" xfId="1" applyNumberFormat="1" applyFont="1" applyFill="1" applyBorder="1"/>
    <xf numFmtId="0" fontId="8" fillId="0" borderId="3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0" xfId="1" applyFont="1" applyFill="1"/>
    <xf numFmtId="0" fontId="10" fillId="0" borderId="0" xfId="1" applyFont="1" applyFill="1"/>
    <xf numFmtId="0" fontId="9" fillId="0" borderId="0" xfId="1" applyFont="1" applyFill="1"/>
    <xf numFmtId="3" fontId="12" fillId="0" borderId="0" xfId="4" applyNumberFormat="1" applyFont="1" applyFill="1"/>
    <xf numFmtId="3" fontId="10" fillId="0" borderId="0" xfId="1" applyNumberFormat="1" applyFont="1" applyFill="1"/>
    <xf numFmtId="38" fontId="7" fillId="0" borderId="14" xfId="1" applyNumberFormat="1" applyFill="1" applyBorder="1"/>
    <xf numFmtId="38" fontId="10" fillId="0" borderId="11" xfId="1" applyNumberFormat="1" applyFont="1" applyFill="1" applyBorder="1"/>
    <xf numFmtId="38" fontId="7" fillId="0" borderId="9" xfId="1" applyNumberForma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/>
    <xf numFmtId="3" fontId="0" fillId="0" borderId="0" xfId="0" applyNumberFormat="1" applyFont="1"/>
    <xf numFmtId="165" fontId="0" fillId="0" borderId="0" xfId="0" applyNumberFormat="1" applyFont="1"/>
    <xf numFmtId="38" fontId="7" fillId="0" borderId="6" xfId="1" applyNumberFormat="1" applyFill="1" applyBorder="1"/>
    <xf numFmtId="38" fontId="7" fillId="0" borderId="39" xfId="1" applyNumberFormat="1" applyBorder="1"/>
    <xf numFmtId="38" fontId="7" fillId="0" borderId="14" xfId="1" applyNumberFormat="1" applyBorder="1"/>
    <xf numFmtId="38" fontId="7" fillId="0" borderId="41" xfId="1" applyNumberFormat="1" applyBorder="1"/>
    <xf numFmtId="38" fontId="10" fillId="0" borderId="15" xfId="3" applyNumberFormat="1" applyFont="1" applyBorder="1"/>
    <xf numFmtId="0" fontId="7" fillId="0" borderId="46" xfId="1" applyBorder="1"/>
    <xf numFmtId="0" fontId="8" fillId="0" borderId="29" xfId="1" applyFont="1" applyBorder="1"/>
    <xf numFmtId="0" fontId="8" fillId="0" borderId="32" xfId="1" applyFont="1" applyBorder="1"/>
    <xf numFmtId="0" fontId="10" fillId="0" borderId="10" xfId="1" applyFont="1" applyFill="1" applyBorder="1"/>
    <xf numFmtId="0" fontId="8" fillId="0" borderId="5" xfId="1" applyFont="1" applyFill="1" applyBorder="1"/>
    <xf numFmtId="0" fontId="7" fillId="0" borderId="16" xfId="1" applyFill="1" applyBorder="1"/>
    <xf numFmtId="0" fontId="8" fillId="0" borderId="16" xfId="1" applyFont="1" applyBorder="1" applyAlignment="1">
      <alignment horizontal="right"/>
    </xf>
    <xf numFmtId="0" fontId="8" fillId="0" borderId="47" xfId="1" applyFont="1" applyBorder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3" fontId="0" fillId="2" borderId="0" xfId="0" applyNumberFormat="1" applyFont="1" applyFill="1"/>
    <xf numFmtId="0" fontId="7" fillId="2" borderId="0" xfId="1" applyFill="1"/>
    <xf numFmtId="9" fontId="7" fillId="2" borderId="0" xfId="1" applyNumberFormat="1" applyFill="1"/>
    <xf numFmtId="166" fontId="8" fillId="0" borderId="0" xfId="6" applyNumberFormat="1" applyFont="1" applyFill="1"/>
    <xf numFmtId="166" fontId="8" fillId="0" borderId="34" xfId="6" applyNumberFormat="1" applyFont="1" applyFill="1" applyBorder="1" applyAlignment="1">
      <alignment horizontal="center" vertical="center"/>
    </xf>
    <xf numFmtId="166" fontId="8" fillId="0" borderId="34" xfId="6" applyNumberFormat="1" applyFont="1" applyFill="1" applyBorder="1"/>
    <xf numFmtId="0" fontId="0" fillId="0" borderId="0" xfId="0" applyBorder="1"/>
    <xf numFmtId="0" fontId="18" fillId="0" borderId="0" xfId="0" applyFont="1" applyBorder="1" applyAlignment="1">
      <alignment horizontal="right" vertical="center" wrapText="1"/>
    </xf>
    <xf numFmtId="0" fontId="8" fillId="0" borderId="0" xfId="1" applyFont="1" applyBorder="1" applyAlignment="1">
      <alignment horizontal="left" vertical="center"/>
    </xf>
    <xf numFmtId="3" fontId="0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6" fontId="21" fillId="0" borderId="0" xfId="8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166" fontId="21" fillId="0" borderId="0" xfId="8" applyNumberFormat="1" applyFont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0" fillId="0" borderId="0" xfId="0" applyFill="1" applyBorder="1"/>
    <xf numFmtId="165" fontId="0" fillId="0" borderId="0" xfId="0" applyNumberFormat="1" applyFont="1" applyFill="1" applyBorder="1"/>
    <xf numFmtId="166" fontId="21" fillId="4" borderId="0" xfId="8" applyNumberFormat="1" applyFont="1" applyFill="1" applyBorder="1" applyAlignment="1">
      <alignment horizontal="center"/>
    </xf>
    <xf numFmtId="166" fontId="21" fillId="0" borderId="0" xfId="8" applyNumberFormat="1" applyFont="1" applyFill="1" applyBorder="1" applyAlignment="1">
      <alignment horizontal="left"/>
    </xf>
    <xf numFmtId="43" fontId="21" fillId="0" borderId="0" xfId="8" applyNumberFormat="1" applyFont="1" applyFill="1" applyBorder="1" applyAlignment="1">
      <alignment horizontal="center"/>
    </xf>
    <xf numFmtId="166" fontId="19" fillId="0" borderId="0" xfId="7" applyNumberFormat="1" applyFill="1" applyBorder="1" applyAlignment="1">
      <alignment horizontal="center"/>
    </xf>
    <xf numFmtId="0" fontId="1" fillId="0" borderId="0" xfId="0" applyFont="1"/>
    <xf numFmtId="3" fontId="5" fillId="0" borderId="0" xfId="0" applyNumberFormat="1" applyFont="1"/>
    <xf numFmtId="0" fontId="8" fillId="0" borderId="0" xfId="1" applyFont="1" applyAlignment="1">
      <alignment vertical="center"/>
    </xf>
    <xf numFmtId="166" fontId="7" fillId="0" borderId="0" xfId="1" applyNumberFormat="1" applyAlignment="1">
      <alignment horizontal="left" indent="2"/>
    </xf>
    <xf numFmtId="0" fontId="7" fillId="0" borderId="0" xfId="1" applyAlignment="1">
      <alignment horizontal="center"/>
    </xf>
    <xf numFmtId="168" fontId="7" fillId="0" borderId="0" xfId="5" applyNumberFormat="1" applyFont="1"/>
    <xf numFmtId="38" fontId="7" fillId="0" borderId="50" xfId="1" applyNumberFormat="1" applyFill="1" applyBorder="1"/>
    <xf numFmtId="0" fontId="1" fillId="0" borderId="0" xfId="0" applyFont="1" applyFill="1" applyAlignment="1">
      <alignment horizontal="center"/>
    </xf>
    <xf numFmtId="43" fontId="17" fillId="0" borderId="20" xfId="0" applyNumberFormat="1" applyFont="1" applyBorder="1"/>
    <xf numFmtId="1" fontId="8" fillId="0" borderId="0" xfId="1" applyNumberFormat="1" applyFont="1" applyAlignment="1">
      <alignment horizontal="center"/>
    </xf>
    <xf numFmtId="0" fontId="8" fillId="0" borderId="40" xfId="1" applyFont="1" applyFill="1" applyBorder="1"/>
    <xf numFmtId="0" fontId="8" fillId="0" borderId="0" xfId="1" applyFont="1" applyAlignment="1">
      <alignment horizontal="left"/>
    </xf>
    <xf numFmtId="0" fontId="9" fillId="2" borderId="0" xfId="1" applyFont="1" applyFill="1" applyAlignment="1">
      <alignment horizontal="left"/>
    </xf>
    <xf numFmtId="0" fontId="8" fillId="2" borderId="0" xfId="1" applyFont="1" applyFill="1" applyAlignment="1">
      <alignment horizontal="centerContinuous"/>
    </xf>
    <xf numFmtId="0" fontId="8" fillId="0" borderId="46" xfId="1" applyFont="1" applyFill="1" applyBorder="1"/>
    <xf numFmtId="0" fontId="7" fillId="0" borderId="47" xfId="1" applyFont="1" applyFill="1" applyBorder="1"/>
    <xf numFmtId="0" fontId="8" fillId="0" borderId="26" xfId="1" applyFont="1" applyBorder="1" applyAlignment="1">
      <alignment horizontal="center"/>
    </xf>
    <xf numFmtId="166" fontId="7" fillId="0" borderId="51" xfId="1" applyNumberFormat="1" applyBorder="1"/>
    <xf numFmtId="166" fontId="7" fillId="0" borderId="49" xfId="1" applyNumberFormat="1" applyBorder="1"/>
    <xf numFmtId="166" fontId="7" fillId="0" borderId="52" xfId="1" applyNumberFormat="1" applyBorder="1"/>
    <xf numFmtId="166" fontId="7" fillId="0" borderId="31" xfId="1" applyNumberFormat="1" applyBorder="1"/>
    <xf numFmtId="166" fontId="8" fillId="0" borderId="43" xfId="3" applyNumberFormat="1" applyFont="1" applyBorder="1"/>
    <xf numFmtId="166" fontId="8" fillId="0" borderId="44" xfId="3" applyNumberFormat="1" applyFont="1" applyBorder="1"/>
    <xf numFmtId="166" fontId="8" fillId="0" borderId="48" xfId="3" applyNumberFormat="1" applyFont="1" applyBorder="1"/>
    <xf numFmtId="166" fontId="8" fillId="0" borderId="36" xfId="1" applyNumberFormat="1" applyFont="1" applyBorder="1"/>
    <xf numFmtId="38" fontId="7" fillId="0" borderId="11" xfId="1" applyNumberFormat="1" applyBorder="1"/>
    <xf numFmtId="0" fontId="8" fillId="0" borderId="47" xfId="1" applyFont="1" applyBorder="1"/>
    <xf numFmtId="0" fontId="10" fillId="0" borderId="15" xfId="1" applyFont="1" applyBorder="1"/>
    <xf numFmtId="0" fontId="10" fillId="0" borderId="5" xfId="1" applyFont="1" applyFill="1" applyBorder="1"/>
    <xf numFmtId="0" fontId="10" fillId="0" borderId="16" xfId="1" applyFont="1" applyFill="1" applyBorder="1"/>
    <xf numFmtId="38" fontId="10" fillId="0" borderId="51" xfId="1" applyNumberFormat="1" applyFont="1" applyFill="1" applyBorder="1"/>
    <xf numFmtId="38" fontId="10" fillId="0" borderId="49" xfId="1" applyNumberFormat="1" applyFont="1" applyFill="1" applyBorder="1"/>
    <xf numFmtId="38" fontId="10" fillId="0" borderId="53" xfId="1" applyNumberFormat="1" applyFont="1" applyFill="1" applyBorder="1"/>
    <xf numFmtId="38" fontId="7" fillId="0" borderId="16" xfId="1" applyNumberFormat="1" applyBorder="1"/>
    <xf numFmtId="0" fontId="7" fillId="0" borderId="15" xfId="1" applyFont="1" applyFill="1" applyBorder="1"/>
    <xf numFmtId="0" fontId="7" fillId="0" borderId="5" xfId="1" applyFont="1" applyFill="1" applyBorder="1"/>
    <xf numFmtId="166" fontId="7" fillId="0" borderId="30" xfId="3" applyNumberFormat="1" applyFont="1" applyFill="1" applyBorder="1"/>
    <xf numFmtId="166" fontId="7" fillId="0" borderId="3" xfId="3" applyNumberFormat="1" applyFont="1" applyFill="1" applyBorder="1"/>
    <xf numFmtId="166" fontId="7" fillId="0" borderId="17" xfId="3" applyNumberFormat="1" applyFont="1" applyFill="1" applyBorder="1"/>
    <xf numFmtId="0" fontId="8" fillId="0" borderId="0" xfId="1" applyFont="1" applyFill="1" applyAlignment="1">
      <alignment horizontal="center"/>
    </xf>
    <xf numFmtId="166" fontId="7" fillId="0" borderId="34" xfId="6" applyNumberFormat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3" fontId="8" fillId="0" borderId="26" xfId="1" applyNumberFormat="1" applyFont="1" applyFill="1" applyBorder="1" applyAlignment="1">
      <alignment horizontal="center"/>
    </xf>
    <xf numFmtId="3" fontId="7" fillId="0" borderId="37" xfId="1" applyNumberFormat="1" applyFill="1" applyBorder="1"/>
    <xf numFmtId="3" fontId="7" fillId="0" borderId="31" xfId="1" applyNumberFormat="1" applyFill="1" applyBorder="1"/>
    <xf numFmtId="3" fontId="7" fillId="2" borderId="31" xfId="1" applyNumberFormat="1" applyFill="1" applyBorder="1" applyAlignment="1">
      <alignment horizontal="center"/>
    </xf>
    <xf numFmtId="3" fontId="7" fillId="0" borderId="36" xfId="1" applyNumberFormat="1" applyFill="1" applyBorder="1"/>
    <xf numFmtId="0" fontId="7" fillId="0" borderId="31" xfId="1" applyBorder="1"/>
    <xf numFmtId="3" fontId="7" fillId="0" borderId="36" xfId="1" applyNumberFormat="1" applyBorder="1"/>
    <xf numFmtId="3" fontId="7" fillId="0" borderId="37" xfId="1" applyNumberFormat="1" applyBorder="1"/>
    <xf numFmtId="17" fontId="7" fillId="2" borderId="0" xfId="1" applyNumberFormat="1" applyFill="1"/>
    <xf numFmtId="0" fontId="8" fillId="0" borderId="34" xfId="1" applyFont="1" applyFill="1" applyBorder="1" applyAlignment="1">
      <alignment horizontal="center" vertical="center"/>
    </xf>
    <xf numFmtId="0" fontId="8" fillId="2" borderId="0" xfId="1" applyFont="1" applyFill="1"/>
    <xf numFmtId="0" fontId="7" fillId="0" borderId="42" xfId="1" quotePrefix="1" applyFill="1" applyBorder="1" applyAlignment="1">
      <alignment horizontal="center"/>
    </xf>
    <xf numFmtId="0" fontId="7" fillId="0" borderId="55" xfId="1" quotePrefix="1" applyFill="1" applyBorder="1" applyAlignment="1">
      <alignment horizontal="center"/>
    </xf>
    <xf numFmtId="0" fontId="7" fillId="0" borderId="37" xfId="1" quotePrefix="1" applyFill="1" applyBorder="1" applyAlignment="1">
      <alignment horizontal="center"/>
    </xf>
    <xf numFmtId="0" fontId="7" fillId="0" borderId="43" xfId="1" applyFill="1" applyBorder="1" applyAlignment="1">
      <alignment horizontal="center"/>
    </xf>
    <xf numFmtId="0" fontId="7" fillId="0" borderId="56" xfId="1" quotePrefix="1" applyFill="1" applyBorder="1" applyAlignment="1">
      <alignment horizontal="center"/>
    </xf>
    <xf numFmtId="0" fontId="7" fillId="0" borderId="56" xfId="1" applyFill="1" applyBorder="1" applyAlignment="1">
      <alignment horizontal="center"/>
    </xf>
    <xf numFmtId="0" fontId="7" fillId="0" borderId="36" xfId="1" applyFill="1" applyBorder="1" applyAlignment="1">
      <alignment horizontal="center"/>
    </xf>
    <xf numFmtId="0" fontId="7" fillId="4" borderId="36" xfId="1" quotePrefix="1" applyFill="1" applyBorder="1" applyAlignment="1">
      <alignment horizontal="center"/>
    </xf>
    <xf numFmtId="0" fontId="7" fillId="4" borderId="32" xfId="1" applyFill="1" applyBorder="1"/>
    <xf numFmtId="3" fontId="7" fillId="4" borderId="36" xfId="1" applyNumberFormat="1" applyFill="1" applyBorder="1"/>
    <xf numFmtId="0" fontId="1" fillId="0" borderId="0" xfId="0" applyFont="1" applyAlignment="1">
      <alignment horizontal="left"/>
    </xf>
    <xf numFmtId="166" fontId="4" fillId="2" borderId="0" xfId="6" applyNumberFormat="1" applyFont="1" applyFill="1"/>
    <xf numFmtId="0" fontId="4" fillId="2" borderId="0" xfId="0" applyFont="1" applyFill="1" applyAlignment="1">
      <alignment horizontal="right"/>
    </xf>
    <xf numFmtId="3" fontId="5" fillId="2" borderId="0" xfId="0" applyNumberFormat="1" applyFont="1" applyFill="1"/>
    <xf numFmtId="166" fontId="21" fillId="6" borderId="0" xfId="8" applyNumberFormat="1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166" fontId="21" fillId="7" borderId="0" xfId="8" applyNumberFormat="1" applyFont="1" applyFill="1" applyBorder="1" applyAlignment="1">
      <alignment horizontal="center"/>
    </xf>
    <xf numFmtId="0" fontId="0" fillId="7" borderId="0" xfId="0" applyFill="1"/>
    <xf numFmtId="164" fontId="1" fillId="0" borderId="0" xfId="0" applyNumberFormat="1" applyFont="1"/>
    <xf numFmtId="164" fontId="4" fillId="2" borderId="0" xfId="0" applyNumberFormat="1" applyFont="1" applyFill="1" applyAlignment="1">
      <alignment horizontal="right"/>
    </xf>
    <xf numFmtId="0" fontId="7" fillId="0" borderId="37" xfId="1" applyBorder="1" applyAlignment="1">
      <alignment horizontal="center"/>
    </xf>
    <xf numFmtId="0" fontId="7" fillId="0" borderId="36" xfId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8" fillId="0" borderId="16" xfId="1" applyFont="1" applyBorder="1"/>
    <xf numFmtId="0" fontId="8" fillId="0" borderId="23" xfId="1" applyFont="1" applyBorder="1"/>
    <xf numFmtId="0" fontId="7" fillId="0" borderId="31" xfId="1" applyBorder="1" applyAlignment="1">
      <alignment horizontal="center"/>
    </xf>
    <xf numFmtId="3" fontId="7" fillId="0" borderId="36" xfId="1" applyNumberForma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39" xfId="1" applyFont="1" applyBorder="1" applyAlignment="1">
      <alignment horizontal="center"/>
    </xf>
    <xf numFmtId="0" fontId="7" fillId="0" borderId="51" xfId="1" applyBorder="1" applyAlignment="1">
      <alignment horizontal="center"/>
    </xf>
    <xf numFmtId="3" fontId="7" fillId="0" borderId="43" xfId="1" applyNumberForma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7" fillId="0" borderId="56" xfId="1" applyBorder="1" applyAlignment="1">
      <alignment horizontal="center"/>
    </xf>
    <xf numFmtId="0" fontId="7" fillId="0" borderId="58" xfId="1" applyBorder="1" applyAlignment="1">
      <alignment horizontal="center"/>
    </xf>
    <xf numFmtId="3" fontId="7" fillId="0" borderId="56" xfId="1" applyNumberFormat="1" applyBorder="1" applyAlignment="1">
      <alignment horizontal="center"/>
    </xf>
    <xf numFmtId="0" fontId="7" fillId="0" borderId="55" xfId="1" applyBorder="1" applyAlignment="1">
      <alignment horizontal="center"/>
    </xf>
    <xf numFmtId="0" fontId="8" fillId="0" borderId="20" xfId="1" applyFont="1" applyBorder="1" applyAlignment="1">
      <alignment horizontal="right"/>
    </xf>
    <xf numFmtId="0" fontId="0" fillId="4" borderId="0" xfId="0" applyFill="1"/>
    <xf numFmtId="166" fontId="7" fillId="0" borderId="59" xfId="1" applyNumberFormat="1" applyFont="1" applyFill="1" applyBorder="1"/>
    <xf numFmtId="166" fontId="7" fillId="0" borderId="12" xfId="3" applyNumberFormat="1" applyFont="1" applyBorder="1"/>
    <xf numFmtId="166" fontId="7" fillId="0" borderId="2" xfId="3" applyNumberFormat="1" applyFont="1" applyBorder="1"/>
    <xf numFmtId="9" fontId="7" fillId="0" borderId="39" xfId="5" applyNumberFormat="1" applyFont="1" applyFill="1" applyBorder="1"/>
    <xf numFmtId="9" fontId="7" fillId="0" borderId="30" xfId="5" applyNumberFormat="1" applyFont="1" applyFill="1" applyBorder="1"/>
    <xf numFmtId="9" fontId="8" fillId="0" borderId="20" xfId="5" applyNumberFormat="1" applyFont="1" applyBorder="1" applyAlignment="1">
      <alignment horizontal="center"/>
    </xf>
    <xf numFmtId="9" fontId="8" fillId="0" borderId="47" xfId="1" applyNumberFormat="1" applyFont="1" applyBorder="1" applyAlignment="1">
      <alignment horizontal="center"/>
    </xf>
    <xf numFmtId="9" fontId="15" fillId="0" borderId="26" xfId="1" applyNumberFormat="1" applyFont="1" applyBorder="1" applyAlignment="1">
      <alignment horizontal="center"/>
    </xf>
    <xf numFmtId="9" fontId="8" fillId="0" borderId="31" xfId="1" applyNumberFormat="1" applyFont="1" applyBorder="1" applyAlignment="1">
      <alignment horizontal="center"/>
    </xf>
    <xf numFmtId="9" fontId="8" fillId="0" borderId="36" xfId="1" applyNumberFormat="1" applyFont="1" applyBorder="1" applyAlignment="1">
      <alignment horizontal="center"/>
    </xf>
    <xf numFmtId="0" fontId="15" fillId="0" borderId="20" xfId="1" applyFont="1" applyBorder="1" applyAlignment="1">
      <alignment horizontal="right"/>
    </xf>
    <xf numFmtId="9" fontId="7" fillId="0" borderId="39" xfId="5" applyNumberFormat="1" applyFont="1" applyFill="1" applyBorder="1" applyAlignment="1">
      <alignment horizontal="center"/>
    </xf>
    <xf numFmtId="9" fontId="7" fillId="0" borderId="30" xfId="5" applyNumberFormat="1" applyFont="1" applyFill="1" applyBorder="1" applyAlignment="1">
      <alignment horizontal="center"/>
    </xf>
    <xf numFmtId="0" fontId="7" fillId="0" borderId="10" xfId="1" applyFont="1" applyFill="1" applyBorder="1"/>
    <xf numFmtId="9" fontId="8" fillId="0" borderId="43" xfId="2" applyFont="1" applyBorder="1" applyAlignment="1">
      <alignment horizontal="center"/>
    </xf>
    <xf numFmtId="9" fontId="8" fillId="0" borderId="44" xfId="2" applyFont="1" applyBorder="1" applyAlignment="1">
      <alignment horizontal="center"/>
    </xf>
    <xf numFmtId="9" fontId="8" fillId="0" borderId="48" xfId="2" applyFont="1" applyBorder="1" applyAlignment="1">
      <alignment horizontal="center"/>
    </xf>
    <xf numFmtId="9" fontId="8" fillId="0" borderId="36" xfId="2" applyNumberFormat="1" applyFont="1" applyBorder="1" applyAlignment="1">
      <alignment horizontal="center"/>
    </xf>
    <xf numFmtId="0" fontId="7" fillId="0" borderId="15" xfId="1" applyFont="1" applyBorder="1"/>
    <xf numFmtId="9" fontId="7" fillId="0" borderId="39" xfId="2" applyFont="1" applyBorder="1" applyAlignment="1">
      <alignment horizontal="center"/>
    </xf>
    <xf numFmtId="9" fontId="7" fillId="0" borderId="13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9" fontId="7" fillId="0" borderId="11" xfId="2" applyNumberFormat="1" applyFont="1" applyBorder="1" applyAlignment="1">
      <alignment horizontal="center"/>
    </xf>
    <xf numFmtId="0" fontId="0" fillId="2" borderId="0" xfId="0" applyFill="1"/>
    <xf numFmtId="0" fontId="1" fillId="0" borderId="0" xfId="0" applyFont="1" applyFill="1"/>
    <xf numFmtId="3" fontId="0" fillId="0" borderId="0" xfId="0" applyNumberFormat="1" applyFill="1"/>
    <xf numFmtId="0" fontId="7" fillId="0" borderId="0" xfId="1" applyFont="1" applyFill="1"/>
    <xf numFmtId="14" fontId="1" fillId="0" borderId="0" xfId="0" applyNumberFormat="1" applyFont="1"/>
    <xf numFmtId="40" fontId="8" fillId="0" borderId="30" xfId="1" applyNumberFormat="1" applyFont="1" applyFill="1" applyBorder="1"/>
    <xf numFmtId="40" fontId="8" fillId="0" borderId="3" xfId="1" applyNumberFormat="1" applyFont="1" applyFill="1" applyBorder="1"/>
    <xf numFmtId="40" fontId="8" fillId="0" borderId="2" xfId="1" applyNumberFormat="1" applyFont="1" applyFill="1" applyBorder="1"/>
    <xf numFmtId="40" fontId="8" fillId="0" borderId="17" xfId="1" applyNumberFormat="1" applyFont="1" applyFill="1" applyBorder="1"/>
    <xf numFmtId="40" fontId="8" fillId="0" borderId="28" xfId="1" applyNumberFormat="1" applyFont="1" applyBorder="1"/>
    <xf numFmtId="40" fontId="8" fillId="0" borderId="21" xfId="1" applyNumberFormat="1" applyFont="1" applyBorder="1"/>
    <xf numFmtId="40" fontId="8" fillId="0" borderId="27" xfId="1" applyNumberFormat="1" applyFont="1" applyBorder="1"/>
    <xf numFmtId="40" fontId="8" fillId="0" borderId="4" xfId="1" applyNumberFormat="1" applyFont="1" applyFill="1" applyBorder="1"/>
    <xf numFmtId="40" fontId="8" fillId="0" borderId="1" xfId="1" applyNumberFormat="1" applyFont="1" applyFill="1" applyBorder="1"/>
    <xf numFmtId="40" fontId="8" fillId="0" borderId="28" xfId="1" applyNumberFormat="1" applyFont="1" applyFill="1" applyBorder="1"/>
    <xf numFmtId="40" fontId="8" fillId="0" borderId="21" xfId="1" applyNumberFormat="1" applyFont="1" applyFill="1" applyBorder="1"/>
    <xf numFmtId="40" fontId="8" fillId="0" borderId="27" xfId="1" applyNumberFormat="1" applyFont="1" applyFill="1" applyBorder="1"/>
    <xf numFmtId="40" fontId="7" fillId="0" borderId="39" xfId="1" applyNumberFormat="1" applyFill="1" applyBorder="1"/>
    <xf numFmtId="40" fontId="7" fillId="0" borderId="13" xfId="1" applyNumberFormat="1" applyFill="1" applyBorder="1"/>
    <xf numFmtId="40" fontId="7" fillId="0" borderId="54" xfId="1" applyNumberFormat="1" applyFill="1" applyBorder="1"/>
    <xf numFmtId="40" fontId="7" fillId="0" borderId="57" xfId="1" applyNumberFormat="1" applyFill="1" applyBorder="1"/>
    <xf numFmtId="40" fontId="7" fillId="0" borderId="35" xfId="1" applyNumberFormat="1" applyBorder="1"/>
    <xf numFmtId="40" fontId="7" fillId="0" borderId="8" xfId="1" applyNumberFormat="1" applyBorder="1"/>
    <xf numFmtId="40" fontId="7" fillId="0" borderId="45" xfId="1" applyNumberFormat="1" applyBorder="1"/>
    <xf numFmtId="40" fontId="7" fillId="0" borderId="10" xfId="1" applyNumberFormat="1" applyBorder="1"/>
    <xf numFmtId="169" fontId="7" fillId="0" borderId="30" xfId="1" applyNumberFormat="1" applyBorder="1"/>
    <xf numFmtId="169" fontId="7" fillId="0" borderId="3" xfId="1" applyNumberFormat="1" applyBorder="1"/>
    <xf numFmtId="169" fontId="7" fillId="0" borderId="2" xfId="1" applyNumberFormat="1" applyBorder="1"/>
    <xf numFmtId="169" fontId="7" fillId="0" borderId="1" xfId="1" applyNumberFormat="1" applyBorder="1"/>
    <xf numFmtId="40" fontId="8" fillId="5" borderId="3" xfId="1" applyNumberFormat="1" applyFont="1" applyFill="1" applyBorder="1"/>
    <xf numFmtId="40" fontId="8" fillId="5" borderId="2" xfId="1" applyNumberFormat="1" applyFont="1" applyFill="1" applyBorder="1"/>
    <xf numFmtId="40" fontId="8" fillId="4" borderId="1" xfId="1" applyNumberFormat="1" applyFont="1" applyFill="1" applyBorder="1"/>
    <xf numFmtId="40" fontId="8" fillId="5" borderId="21" xfId="1" applyNumberFormat="1" applyFont="1" applyFill="1" applyBorder="1"/>
    <xf numFmtId="40" fontId="8" fillId="4" borderId="27" xfId="1" applyNumberFormat="1" applyFont="1" applyFill="1" applyBorder="1"/>
    <xf numFmtId="40" fontId="7" fillId="0" borderId="30" xfId="1" applyNumberFormat="1" applyBorder="1"/>
    <xf numFmtId="40" fontId="7" fillId="0" borderId="3" xfId="1" applyNumberFormat="1" applyBorder="1"/>
    <xf numFmtId="40" fontId="7" fillId="0" borderId="2" xfId="1" applyNumberFormat="1" applyBorder="1"/>
    <xf numFmtId="40" fontId="7" fillId="0" borderId="1" xfId="1" applyNumberFormat="1" applyBorder="1"/>
    <xf numFmtId="3" fontId="7" fillId="0" borderId="55" xfId="1" quotePrefix="1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8" fillId="0" borderId="23" xfId="1" applyFont="1" applyBorder="1" applyAlignment="1">
      <alignment horizontal="right" vertical="center"/>
    </xf>
    <xf numFmtId="0" fontId="8" fillId="0" borderId="47" xfId="1" applyFont="1" applyBorder="1" applyAlignment="1">
      <alignment horizontal="right" vertical="center"/>
    </xf>
  </cellXfs>
  <cellStyles count="9">
    <cellStyle name="Accent6" xfId="7" builtinId="49"/>
    <cellStyle name="Comma" xfId="6" builtinId="3"/>
    <cellStyle name="Comma 2" xfId="3"/>
    <cellStyle name="Comma 3" xfId="8"/>
    <cellStyle name="Normal" xfId="0" builtinId="0"/>
    <cellStyle name="Normal 2" xfId="1"/>
    <cellStyle name="Normal 2 2" xfId="4"/>
    <cellStyle name="Percent" xfId="5" builtinId="5"/>
    <cellStyle name="Percent 2" xfId="2"/>
  </cellStyles>
  <dxfs count="0"/>
  <tableStyles count="0" defaultTableStyle="TableStyleMedium9" defaultPivotStyle="PivotStyleLight16"/>
  <colors>
    <mruColors>
      <color rgb="FFFF99FF"/>
      <color rgb="FF33CCFF"/>
      <color rgb="FFF2DDDC"/>
      <color rgb="FFFF9999"/>
      <color rgb="FF00FF00"/>
      <color rgb="FF99FF99"/>
      <color rgb="FFFFC000"/>
      <color rgb="FF0099FF"/>
      <color rgb="FF00FF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34" workbookViewId="0">
      <selection activeCell="M36" sqref="A1:M36"/>
    </sheetView>
  </sheetViews>
  <sheetFormatPr defaultRowHeight="14.4" x14ac:dyDescent="0.3"/>
  <cols>
    <col min="11" max="11" width="9.6640625" bestFit="1" customWidth="1"/>
    <col min="13" max="13" width="11" customWidth="1"/>
  </cols>
  <sheetData>
    <row r="1" spans="1:21" ht="15" x14ac:dyDescent="0.25">
      <c r="A1" s="301" t="s">
        <v>122</v>
      </c>
      <c r="B1" s="301"/>
      <c r="C1" s="301"/>
      <c r="D1" s="301"/>
      <c r="E1" s="301"/>
      <c r="F1" s="301"/>
      <c r="G1" s="301"/>
      <c r="H1" s="301"/>
      <c r="I1" s="301"/>
      <c r="J1" s="301"/>
      <c r="K1" s="264">
        <v>41383</v>
      </c>
      <c r="M1" s="145" t="s">
        <v>133</v>
      </c>
      <c r="O1" s="301" t="s">
        <v>128</v>
      </c>
      <c r="P1" s="301"/>
      <c r="Q1" s="301"/>
      <c r="R1" s="301"/>
      <c r="S1" s="301"/>
      <c r="T1" s="301"/>
      <c r="U1" s="301"/>
    </row>
    <row r="3" spans="1:21" ht="30.75" customHeight="1" x14ac:dyDescent="0.25">
      <c r="A3" s="302" t="s">
        <v>123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O3" s="299" t="s">
        <v>121</v>
      </c>
      <c r="P3" s="300"/>
      <c r="Q3" s="300"/>
      <c r="R3" s="300"/>
      <c r="S3" s="300"/>
      <c r="T3" s="300"/>
      <c r="U3" s="300"/>
    </row>
    <row r="4" spans="1:21" ht="14.25" customHeight="1" x14ac:dyDescent="0.25"/>
    <row r="5" spans="1:21" ht="14.25" customHeight="1" x14ac:dyDescent="0.25">
      <c r="A5" s="145" t="s">
        <v>104</v>
      </c>
    </row>
    <row r="6" spans="1:21" ht="14.25" customHeight="1" x14ac:dyDescent="0.25">
      <c r="B6" s="260" t="s">
        <v>105</v>
      </c>
      <c r="C6" s="260"/>
      <c r="D6" s="260"/>
      <c r="E6" s="260"/>
      <c r="F6" s="260"/>
      <c r="G6" s="260"/>
      <c r="H6" s="260"/>
      <c r="I6" s="260"/>
    </row>
    <row r="7" spans="1:21" ht="14.25" customHeight="1" x14ac:dyDescent="0.25"/>
    <row r="8" spans="1:21" ht="15" x14ac:dyDescent="0.25">
      <c r="A8" t="s">
        <v>102</v>
      </c>
    </row>
    <row r="10" spans="1:21" ht="15" x14ac:dyDescent="0.25">
      <c r="A10" s="145" t="s">
        <v>103</v>
      </c>
    </row>
    <row r="11" spans="1:21" ht="15" x14ac:dyDescent="0.25">
      <c r="B11" t="s">
        <v>129</v>
      </c>
    </row>
    <row r="12" spans="1:21" ht="15" x14ac:dyDescent="0.25">
      <c r="B12" t="s">
        <v>130</v>
      </c>
    </row>
    <row r="13" spans="1:21" ht="15" x14ac:dyDescent="0.25">
      <c r="B13" t="s">
        <v>106</v>
      </c>
    </row>
    <row r="14" spans="1:21" ht="15" x14ac:dyDescent="0.25">
      <c r="B14" t="s">
        <v>124</v>
      </c>
    </row>
    <row r="15" spans="1:21" ht="15" x14ac:dyDescent="0.25">
      <c r="B15" t="s">
        <v>115</v>
      </c>
    </row>
    <row r="16" spans="1:21" ht="15" x14ac:dyDescent="0.25">
      <c r="B16" t="s">
        <v>114</v>
      </c>
    </row>
    <row r="17" spans="1:13" ht="15" x14ac:dyDescent="0.25">
      <c r="B17" t="s">
        <v>125</v>
      </c>
    </row>
    <row r="19" spans="1:13" ht="15" x14ac:dyDescent="0.25">
      <c r="A19" s="145" t="s">
        <v>107</v>
      </c>
    </row>
    <row r="20" spans="1:13" ht="15" x14ac:dyDescent="0.25">
      <c r="B20" t="s">
        <v>108</v>
      </c>
    </row>
    <row r="22" spans="1:13" ht="15" x14ac:dyDescent="0.25">
      <c r="A22" s="145" t="s">
        <v>109</v>
      </c>
    </row>
    <row r="23" spans="1:13" ht="30" customHeight="1" x14ac:dyDescent="0.25">
      <c r="B23" s="299" t="s">
        <v>110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</row>
    <row r="25" spans="1:13" ht="15" x14ac:dyDescent="0.25">
      <c r="A25" s="145" t="s">
        <v>111</v>
      </c>
      <c r="B25" s="88"/>
    </row>
    <row r="26" spans="1:13" ht="15" x14ac:dyDescent="0.25">
      <c r="B26" s="263" t="s">
        <v>112</v>
      </c>
    </row>
    <row r="27" spans="1:13" ht="15" x14ac:dyDescent="0.25">
      <c r="B27" s="263" t="s">
        <v>113</v>
      </c>
    </row>
    <row r="28" spans="1:13" x14ac:dyDescent="0.3">
      <c r="B28" t="s">
        <v>120</v>
      </c>
    </row>
    <row r="30" spans="1:13" x14ac:dyDescent="0.3">
      <c r="A30" s="145" t="s">
        <v>116</v>
      </c>
    </row>
    <row r="31" spans="1:13" x14ac:dyDescent="0.3">
      <c r="B31" t="s">
        <v>117</v>
      </c>
    </row>
    <row r="32" spans="1:13" x14ac:dyDescent="0.3">
      <c r="B32" t="s">
        <v>126</v>
      </c>
    </row>
    <row r="33" spans="2:2" x14ac:dyDescent="0.3">
      <c r="B33" t="s">
        <v>118</v>
      </c>
    </row>
    <row r="34" spans="2:2" x14ac:dyDescent="0.3">
      <c r="B34" t="s">
        <v>119</v>
      </c>
    </row>
  </sheetData>
  <mergeCells count="5">
    <mergeCell ref="O3:U3"/>
    <mergeCell ref="O1:U1"/>
    <mergeCell ref="A1:J1"/>
    <mergeCell ref="A3:M3"/>
    <mergeCell ref="B23:M2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2"/>
  <sheetViews>
    <sheetView showRuler="0" zoomScaleNormal="100" workbookViewId="0"/>
  </sheetViews>
  <sheetFormatPr defaultRowHeight="14.4" x14ac:dyDescent="0.3"/>
  <cols>
    <col min="1" max="1" width="8.33203125" style="1" bestFit="1" customWidth="1"/>
    <col min="2" max="2" width="7.109375" customWidth="1"/>
    <col min="3" max="6" width="7.88671875" customWidth="1"/>
    <col min="7" max="7" width="7.44140625" customWidth="1"/>
    <col min="8" max="12" width="7.88671875" customWidth="1"/>
    <col min="13" max="14" width="7.44140625" customWidth="1"/>
    <col min="15" max="17" width="7.88671875" customWidth="1"/>
    <col min="18" max="18" width="26.6640625" customWidth="1"/>
    <col min="19" max="21" width="7.88671875" customWidth="1"/>
    <col min="22" max="22" width="7.6640625" customWidth="1"/>
    <col min="23" max="23" width="6.5546875" customWidth="1"/>
    <col min="26" max="26" width="9.5546875" bestFit="1" customWidth="1"/>
  </cols>
  <sheetData>
    <row r="1" spans="1:22" ht="15" x14ac:dyDescent="0.25">
      <c r="A1" s="116" t="s">
        <v>81</v>
      </c>
      <c r="B1" s="117"/>
      <c r="C1" s="118"/>
      <c r="D1" s="118"/>
      <c r="E1" s="118"/>
      <c r="F1" s="118"/>
      <c r="G1" s="118"/>
      <c r="H1" s="117"/>
      <c r="I1" s="117"/>
      <c r="J1" s="117"/>
      <c r="K1" s="117"/>
      <c r="L1" s="117"/>
      <c r="M1" s="117"/>
      <c r="N1" s="117"/>
      <c r="O1" s="119"/>
      <c r="P1" s="119"/>
      <c r="Q1" s="119"/>
      <c r="R1" s="217" t="s">
        <v>91</v>
      </c>
      <c r="S1" s="216" t="s">
        <v>90</v>
      </c>
      <c r="T1" s="119"/>
      <c r="U1" s="2"/>
      <c r="V1" s="2"/>
    </row>
    <row r="2" spans="1:22" ht="15" x14ac:dyDescent="0.25">
      <c r="A2" s="3" t="s">
        <v>0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7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2" t="s">
        <v>2</v>
      </c>
      <c r="O2" s="2" t="s">
        <v>1</v>
      </c>
    </row>
    <row r="3" spans="1:22" ht="15" x14ac:dyDescent="0.25">
      <c r="A3" s="152">
        <v>1991</v>
      </c>
      <c r="B3" s="120">
        <v>946.6</v>
      </c>
      <c r="C3" s="120">
        <v>1108</v>
      </c>
      <c r="D3" s="120">
        <v>1404</v>
      </c>
      <c r="E3" s="120">
        <v>1024</v>
      </c>
      <c r="F3" s="120">
        <v>861.8</v>
      </c>
      <c r="G3" s="120">
        <v>289.10000000000002</v>
      </c>
      <c r="H3" s="120">
        <v>179.2</v>
      </c>
      <c r="I3" s="120">
        <v>533.4</v>
      </c>
      <c r="J3" s="120">
        <v>544.6</v>
      </c>
      <c r="K3" s="120">
        <v>594.79999999999995</v>
      </c>
      <c r="L3" s="120">
        <v>1167</v>
      </c>
      <c r="M3" s="120">
        <v>1071</v>
      </c>
      <c r="N3" s="98">
        <f t="shared" ref="N3:N24" si="0">SUM(B3:M3)</f>
        <v>9723.5</v>
      </c>
      <c r="O3" s="98">
        <f t="shared" ref="O3:O24" si="1">AVERAGE(B3:M3)</f>
        <v>810.29166666666663</v>
      </c>
      <c r="R3" s="210" t="s">
        <v>85</v>
      </c>
      <c r="S3" s="208" t="s">
        <v>79</v>
      </c>
    </row>
    <row r="4" spans="1:22" ht="15" x14ac:dyDescent="0.25">
      <c r="A4" s="152">
        <v>1992</v>
      </c>
      <c r="B4" s="120">
        <v>994.4</v>
      </c>
      <c r="C4" s="120">
        <v>739.6</v>
      </c>
      <c r="D4" s="120">
        <v>1061</v>
      </c>
      <c r="E4" s="120">
        <v>1089</v>
      </c>
      <c r="F4" s="120">
        <v>622.5</v>
      </c>
      <c r="G4" s="120">
        <v>719.1</v>
      </c>
      <c r="H4" s="120">
        <v>245.2</v>
      </c>
      <c r="I4" s="120">
        <v>422.9</v>
      </c>
      <c r="J4" s="120">
        <v>255.7</v>
      </c>
      <c r="K4" s="120">
        <v>271.10000000000002</v>
      </c>
      <c r="L4" s="120">
        <v>647.1</v>
      </c>
      <c r="M4" s="120">
        <v>1541</v>
      </c>
      <c r="N4" s="98">
        <f t="shared" si="0"/>
        <v>8608.6</v>
      </c>
      <c r="O4" s="98">
        <f t="shared" si="1"/>
        <v>717.38333333333333</v>
      </c>
      <c r="R4" s="210" t="s">
        <v>86</v>
      </c>
      <c r="S4" s="145" t="s">
        <v>80</v>
      </c>
    </row>
    <row r="5" spans="1:22" ht="15" x14ac:dyDescent="0.25">
      <c r="A5" s="152">
        <v>1993</v>
      </c>
      <c r="B5" s="120">
        <v>1433</v>
      </c>
      <c r="C5" s="120">
        <v>901.6</v>
      </c>
      <c r="D5" s="120">
        <v>1596</v>
      </c>
      <c r="E5" s="120">
        <v>2359</v>
      </c>
      <c r="F5" s="120">
        <v>641.1</v>
      </c>
      <c r="G5" s="120">
        <v>274.10000000000002</v>
      </c>
      <c r="H5" s="120">
        <v>151.6</v>
      </c>
      <c r="I5" s="120">
        <v>101.3</v>
      </c>
      <c r="J5" s="120">
        <v>204.4</v>
      </c>
      <c r="K5" s="120">
        <v>252.7</v>
      </c>
      <c r="L5" s="120">
        <v>475</v>
      </c>
      <c r="M5" s="120">
        <v>1283</v>
      </c>
      <c r="N5" s="98">
        <f t="shared" si="0"/>
        <v>9672.8000000000011</v>
      </c>
      <c r="O5" s="98">
        <f t="shared" si="1"/>
        <v>806.06666666666672</v>
      </c>
      <c r="R5" s="209">
        <v>416</v>
      </c>
      <c r="S5" s="119" t="s">
        <v>82</v>
      </c>
    </row>
    <row r="6" spans="1:22" ht="15" x14ac:dyDescent="0.25">
      <c r="A6" s="152">
        <v>1994</v>
      </c>
      <c r="B6" s="120">
        <v>1010</v>
      </c>
      <c r="C6" s="120">
        <v>973.1</v>
      </c>
      <c r="D6" s="120">
        <v>2410</v>
      </c>
      <c r="E6" s="120">
        <v>1472</v>
      </c>
      <c r="F6" s="120">
        <v>892.4</v>
      </c>
      <c r="G6" s="120">
        <v>303.3</v>
      </c>
      <c r="H6" s="120">
        <v>201.2</v>
      </c>
      <c r="I6" s="120">
        <v>395.2</v>
      </c>
      <c r="J6" s="120">
        <v>363.3</v>
      </c>
      <c r="K6" s="120">
        <v>308.10000000000002</v>
      </c>
      <c r="L6" s="120">
        <v>574.5</v>
      </c>
      <c r="M6" s="120">
        <v>1279</v>
      </c>
      <c r="N6" s="98">
        <f t="shared" si="0"/>
        <v>10182.1</v>
      </c>
      <c r="O6" s="98">
        <f t="shared" si="1"/>
        <v>848.50833333333333</v>
      </c>
    </row>
    <row r="7" spans="1:22" ht="15" x14ac:dyDescent="0.25">
      <c r="A7" s="152">
        <v>1995</v>
      </c>
      <c r="B7" s="120">
        <v>1425</v>
      </c>
      <c r="C7" s="120">
        <v>828</v>
      </c>
      <c r="D7" s="120">
        <v>1126</v>
      </c>
      <c r="E7" s="120">
        <v>644.1</v>
      </c>
      <c r="F7" s="120">
        <v>513.6</v>
      </c>
      <c r="G7" s="120">
        <v>241.2</v>
      </c>
      <c r="H7" s="120">
        <v>144.4</v>
      </c>
      <c r="I7" s="120">
        <v>126.8</v>
      </c>
      <c r="J7" s="120">
        <v>106.3</v>
      </c>
      <c r="K7" s="120">
        <v>506.9</v>
      </c>
      <c r="L7" s="120">
        <v>1091</v>
      </c>
      <c r="M7" s="120">
        <v>534.9</v>
      </c>
      <c r="N7" s="98">
        <f t="shared" si="0"/>
        <v>7288.1999999999989</v>
      </c>
      <c r="O7" s="98">
        <f t="shared" si="1"/>
        <v>607.34999999999991</v>
      </c>
    </row>
    <row r="8" spans="1:22" ht="15" x14ac:dyDescent="0.25">
      <c r="A8" s="152">
        <v>1996</v>
      </c>
      <c r="B8" s="120">
        <v>1706</v>
      </c>
      <c r="C8" s="120">
        <v>1723</v>
      </c>
      <c r="D8" s="120">
        <v>1385</v>
      </c>
      <c r="E8" s="120">
        <v>1792</v>
      </c>
      <c r="F8" s="120">
        <v>1221</v>
      </c>
      <c r="G8" s="120">
        <v>456.1</v>
      </c>
      <c r="H8" s="120">
        <v>560.6</v>
      </c>
      <c r="I8" s="120">
        <v>293.89999999999998</v>
      </c>
      <c r="J8" s="120">
        <v>567.79999999999995</v>
      </c>
      <c r="K8" s="120">
        <v>1354</v>
      </c>
      <c r="L8" s="120">
        <v>954.4</v>
      </c>
      <c r="M8" s="120">
        <v>2371</v>
      </c>
      <c r="N8" s="98">
        <f t="shared" si="0"/>
        <v>14384.8</v>
      </c>
      <c r="O8" s="98">
        <f t="shared" si="1"/>
        <v>1198.7333333333333</v>
      </c>
    </row>
    <row r="9" spans="1:22" ht="15" x14ac:dyDescent="0.25">
      <c r="A9" s="152">
        <v>1997</v>
      </c>
      <c r="B9" s="120">
        <v>1319</v>
      </c>
      <c r="C9" s="120">
        <v>1155</v>
      </c>
      <c r="D9" s="120">
        <v>1058</v>
      </c>
      <c r="E9" s="120">
        <v>2111</v>
      </c>
      <c r="F9" s="120">
        <v>931.5</v>
      </c>
      <c r="G9" s="120">
        <v>295.3</v>
      </c>
      <c r="H9" s="120">
        <v>126.2</v>
      </c>
      <c r="I9" s="120">
        <v>124.5</v>
      </c>
      <c r="J9" s="120">
        <v>103.6</v>
      </c>
      <c r="K9" s="120">
        <v>123.1</v>
      </c>
      <c r="L9" s="120">
        <v>431.4</v>
      </c>
      <c r="M9" s="120">
        <v>345.6</v>
      </c>
      <c r="N9" s="98">
        <f t="shared" si="0"/>
        <v>8124.2000000000007</v>
      </c>
      <c r="O9" s="98">
        <f t="shared" si="1"/>
        <v>677.01666666666677</v>
      </c>
    </row>
    <row r="10" spans="1:22" ht="15" x14ac:dyDescent="0.25">
      <c r="A10" s="152">
        <v>1998</v>
      </c>
      <c r="B10" s="120">
        <v>1278</v>
      </c>
      <c r="C10" s="120">
        <v>1627</v>
      </c>
      <c r="D10" s="120">
        <v>2245</v>
      </c>
      <c r="E10" s="120">
        <v>1191</v>
      </c>
      <c r="F10" s="120">
        <v>1423</v>
      </c>
      <c r="G10" s="120">
        <v>1714</v>
      </c>
      <c r="H10" s="120">
        <v>859.7</v>
      </c>
      <c r="I10" s="120">
        <v>216.8</v>
      </c>
      <c r="J10" s="120">
        <v>154.6</v>
      </c>
      <c r="K10" s="120">
        <v>466</v>
      </c>
      <c r="L10" s="120">
        <v>335.7</v>
      </c>
      <c r="M10" s="120">
        <v>300.10000000000002</v>
      </c>
      <c r="N10" s="98">
        <f t="shared" si="0"/>
        <v>11810.900000000001</v>
      </c>
      <c r="O10" s="98">
        <f t="shared" si="1"/>
        <v>984.24166666666679</v>
      </c>
    </row>
    <row r="11" spans="1:22" ht="15" x14ac:dyDescent="0.25">
      <c r="A11" s="152">
        <v>1999</v>
      </c>
      <c r="B11" s="120">
        <v>1398</v>
      </c>
      <c r="C11" s="120">
        <v>1501</v>
      </c>
      <c r="D11" s="120">
        <v>1625</v>
      </c>
      <c r="E11" s="120">
        <v>628.29999999999995</v>
      </c>
      <c r="F11" s="120">
        <v>477.4</v>
      </c>
      <c r="G11" s="120">
        <v>136.5</v>
      </c>
      <c r="H11" s="120">
        <v>120.4</v>
      </c>
      <c r="I11" s="120">
        <v>71.5</v>
      </c>
      <c r="J11" s="120">
        <v>433.2</v>
      </c>
      <c r="K11" s="120">
        <v>470</v>
      </c>
      <c r="L11" s="120">
        <v>461.3</v>
      </c>
      <c r="M11" s="120">
        <v>601</v>
      </c>
      <c r="N11" s="98">
        <f t="shared" si="0"/>
        <v>7923.5999999999995</v>
      </c>
      <c r="O11" s="98">
        <f t="shared" si="1"/>
        <v>660.3</v>
      </c>
    </row>
    <row r="12" spans="1:22" ht="15" x14ac:dyDescent="0.25">
      <c r="A12" s="152">
        <v>2000</v>
      </c>
      <c r="B12" s="120">
        <v>694</v>
      </c>
      <c r="C12" s="120">
        <v>932.3</v>
      </c>
      <c r="D12" s="120">
        <v>1374</v>
      </c>
      <c r="E12" s="120">
        <v>1733</v>
      </c>
      <c r="F12" s="120">
        <v>1028</v>
      </c>
      <c r="G12" s="120">
        <v>1076</v>
      </c>
      <c r="H12" s="120">
        <v>313</v>
      </c>
      <c r="I12" s="120">
        <v>271.8</v>
      </c>
      <c r="J12" s="120">
        <v>188.3</v>
      </c>
      <c r="K12" s="120">
        <v>240.1</v>
      </c>
      <c r="L12" s="120">
        <v>394.4</v>
      </c>
      <c r="M12" s="120">
        <v>694.3</v>
      </c>
      <c r="N12" s="98">
        <f t="shared" si="0"/>
        <v>8939.2000000000007</v>
      </c>
      <c r="O12" s="98">
        <f t="shared" si="1"/>
        <v>744.93333333333339</v>
      </c>
    </row>
    <row r="13" spans="1:22" ht="15" x14ac:dyDescent="0.25">
      <c r="A13" s="152">
        <v>2001</v>
      </c>
      <c r="B13" s="120">
        <v>416.2</v>
      </c>
      <c r="C13" s="120">
        <v>647.6</v>
      </c>
      <c r="D13" s="120">
        <v>2323</v>
      </c>
      <c r="E13" s="120">
        <v>1920</v>
      </c>
      <c r="F13" s="120">
        <v>442.9</v>
      </c>
      <c r="G13" s="120">
        <v>1015</v>
      </c>
      <c r="H13" s="120">
        <v>404</v>
      </c>
      <c r="I13" s="120">
        <v>238.6</v>
      </c>
      <c r="J13" s="120">
        <v>149.5</v>
      </c>
      <c r="K13" s="120">
        <v>149.30000000000001</v>
      </c>
      <c r="L13" s="120">
        <v>157.30000000000001</v>
      </c>
      <c r="M13" s="120">
        <v>222.2</v>
      </c>
      <c r="N13" s="98">
        <f t="shared" si="0"/>
        <v>8085.6</v>
      </c>
      <c r="O13" s="98">
        <f t="shared" si="1"/>
        <v>673.80000000000007</v>
      </c>
    </row>
    <row r="14" spans="1:22" ht="15" x14ac:dyDescent="0.25">
      <c r="A14" s="152">
        <v>2002</v>
      </c>
      <c r="B14" s="120">
        <v>270.10000000000002</v>
      </c>
      <c r="C14" s="120">
        <v>344.6</v>
      </c>
      <c r="D14" s="120">
        <v>622.29999999999995</v>
      </c>
      <c r="E14" s="120">
        <v>674.6</v>
      </c>
      <c r="F14" s="120">
        <v>1117</v>
      </c>
      <c r="G14" s="120">
        <v>699.1</v>
      </c>
      <c r="H14" s="120">
        <v>153.5</v>
      </c>
      <c r="I14" s="120">
        <v>101.9</v>
      </c>
      <c r="J14" s="120">
        <v>131.30000000000001</v>
      </c>
      <c r="K14" s="120">
        <v>276.60000000000002</v>
      </c>
      <c r="L14" s="120">
        <v>627</v>
      </c>
      <c r="M14" s="120">
        <v>1148</v>
      </c>
      <c r="N14" s="98">
        <f t="shared" si="0"/>
        <v>6166</v>
      </c>
      <c r="O14" s="98">
        <f t="shared" si="1"/>
        <v>513.83333333333337</v>
      </c>
    </row>
    <row r="15" spans="1:22" ht="15" x14ac:dyDescent="0.25">
      <c r="A15" s="152">
        <v>2003</v>
      </c>
      <c r="B15" s="120">
        <v>891.9</v>
      </c>
      <c r="C15" s="120">
        <v>771.7</v>
      </c>
      <c r="D15" s="120">
        <v>1876</v>
      </c>
      <c r="E15" s="120">
        <v>1740</v>
      </c>
      <c r="F15" s="120">
        <v>923.8</v>
      </c>
      <c r="G15" s="120">
        <v>1634</v>
      </c>
      <c r="H15" s="120">
        <v>420.4</v>
      </c>
      <c r="I15" s="120">
        <v>437.5</v>
      </c>
      <c r="J15" s="120">
        <v>311.3</v>
      </c>
      <c r="K15" s="120">
        <v>548.9</v>
      </c>
      <c r="L15" s="120">
        <v>732.6</v>
      </c>
      <c r="M15" s="120">
        <v>1453</v>
      </c>
      <c r="N15" s="98">
        <f t="shared" si="0"/>
        <v>11741.1</v>
      </c>
      <c r="O15" s="98">
        <f t="shared" si="1"/>
        <v>978.42500000000007</v>
      </c>
    </row>
    <row r="16" spans="1:22" ht="15" x14ac:dyDescent="0.25">
      <c r="A16" s="152">
        <v>2004</v>
      </c>
      <c r="B16" s="120">
        <v>816.1</v>
      </c>
      <c r="C16" s="120">
        <v>528.70000000000005</v>
      </c>
      <c r="D16" s="120">
        <v>723.8</v>
      </c>
      <c r="E16" s="120">
        <v>2364</v>
      </c>
      <c r="F16" s="120">
        <v>1036</v>
      </c>
      <c r="G16" s="120">
        <v>376.7</v>
      </c>
      <c r="H16" s="120">
        <v>260.5</v>
      </c>
      <c r="I16" s="120">
        <v>267.3</v>
      </c>
      <c r="J16" s="120">
        <v>473</v>
      </c>
      <c r="K16" s="120">
        <v>578.4</v>
      </c>
      <c r="L16" s="120">
        <v>615.29999999999995</v>
      </c>
      <c r="M16" s="120">
        <v>1434</v>
      </c>
      <c r="N16" s="98">
        <f t="shared" si="0"/>
        <v>9473.7999999999993</v>
      </c>
      <c r="O16" s="98">
        <f t="shared" si="1"/>
        <v>789.48333333333323</v>
      </c>
    </row>
    <row r="17" spans="1:24" ht="15" x14ac:dyDescent="0.25">
      <c r="A17" s="152">
        <v>2005</v>
      </c>
      <c r="B17" s="120">
        <v>1699</v>
      </c>
      <c r="C17" s="120">
        <v>1369</v>
      </c>
      <c r="D17" s="120">
        <v>1380</v>
      </c>
      <c r="E17" s="120">
        <v>2067</v>
      </c>
      <c r="F17" s="120">
        <v>1235</v>
      </c>
      <c r="G17" s="120">
        <v>435.2</v>
      </c>
      <c r="H17" s="120">
        <v>390</v>
      </c>
      <c r="I17" s="120">
        <v>151.5</v>
      </c>
      <c r="J17" s="120">
        <v>155.1</v>
      </c>
      <c r="K17" s="120">
        <v>2651</v>
      </c>
      <c r="L17" s="120">
        <v>1472</v>
      </c>
      <c r="M17" s="120">
        <v>1386</v>
      </c>
      <c r="N17" s="98">
        <f t="shared" si="0"/>
        <v>14390.800000000001</v>
      </c>
      <c r="O17" s="98">
        <f t="shared" si="1"/>
        <v>1199.2333333333333</v>
      </c>
    </row>
    <row r="18" spans="1:24" ht="15" x14ac:dyDescent="0.25">
      <c r="A18" s="152">
        <v>2006</v>
      </c>
      <c r="B18" s="120">
        <v>1874</v>
      </c>
      <c r="C18" s="120">
        <v>1749</v>
      </c>
      <c r="D18" s="120">
        <v>570.20000000000005</v>
      </c>
      <c r="E18" s="120">
        <v>460.8</v>
      </c>
      <c r="F18" s="120">
        <v>1415</v>
      </c>
      <c r="G18" s="120">
        <v>2458</v>
      </c>
      <c r="H18" s="120">
        <v>506.8</v>
      </c>
      <c r="I18" s="120">
        <v>241.8</v>
      </c>
      <c r="J18" s="120">
        <v>238.1</v>
      </c>
      <c r="K18" s="120">
        <v>491.2</v>
      </c>
      <c r="L18" s="120">
        <v>1429</v>
      </c>
      <c r="M18" s="120">
        <v>912.6</v>
      </c>
      <c r="N18" s="98">
        <f t="shared" si="0"/>
        <v>12346.5</v>
      </c>
      <c r="O18" s="98">
        <f t="shared" si="1"/>
        <v>1028.875</v>
      </c>
    </row>
    <row r="19" spans="1:24" ht="15" x14ac:dyDescent="0.25">
      <c r="A19" s="152">
        <v>2007</v>
      </c>
      <c r="B19" s="120">
        <v>987.7</v>
      </c>
      <c r="C19" s="120">
        <v>347.2</v>
      </c>
      <c r="D19" s="120">
        <v>1637</v>
      </c>
      <c r="E19" s="120">
        <v>2726</v>
      </c>
      <c r="F19" s="120">
        <v>1199</v>
      </c>
      <c r="G19" s="120">
        <v>542.1</v>
      </c>
      <c r="H19" s="120">
        <v>186.1</v>
      </c>
      <c r="I19" s="120">
        <v>112.5</v>
      </c>
      <c r="J19" s="120">
        <v>102.7</v>
      </c>
      <c r="K19" s="120">
        <v>196.2</v>
      </c>
      <c r="L19" s="120">
        <v>208.9</v>
      </c>
      <c r="M19" s="120">
        <v>314.2</v>
      </c>
      <c r="N19" s="98">
        <f t="shared" si="0"/>
        <v>8559.6</v>
      </c>
      <c r="O19" s="98">
        <f t="shared" si="1"/>
        <v>713.30000000000007</v>
      </c>
    </row>
    <row r="20" spans="1:24" ht="15" x14ac:dyDescent="0.25">
      <c r="A20" s="152">
        <v>2008</v>
      </c>
      <c r="B20" s="120">
        <v>841.7</v>
      </c>
      <c r="C20" s="120">
        <v>2560</v>
      </c>
      <c r="D20" s="120">
        <v>2224</v>
      </c>
      <c r="E20" s="120">
        <v>1089</v>
      </c>
      <c r="F20" s="120">
        <v>760.4</v>
      </c>
      <c r="G20" s="120">
        <v>299</v>
      </c>
      <c r="H20" s="120">
        <v>370.9</v>
      </c>
      <c r="I20" s="120">
        <v>524.70000000000005</v>
      </c>
      <c r="J20" s="120">
        <v>777</v>
      </c>
      <c r="K20" s="120">
        <v>678</v>
      </c>
      <c r="L20" s="120">
        <v>807.9</v>
      </c>
      <c r="M20" s="120">
        <v>2357</v>
      </c>
      <c r="N20" s="98">
        <f t="shared" si="0"/>
        <v>13289.599999999999</v>
      </c>
      <c r="O20" s="98">
        <f t="shared" si="1"/>
        <v>1107.4666666666665</v>
      </c>
    </row>
    <row r="21" spans="1:24" ht="15" x14ac:dyDescent="0.25">
      <c r="A21" s="152">
        <v>2009</v>
      </c>
      <c r="B21" s="120">
        <v>1167</v>
      </c>
      <c r="C21" s="120">
        <v>1048</v>
      </c>
      <c r="D21" s="120">
        <v>1214</v>
      </c>
      <c r="E21" s="120">
        <v>1224</v>
      </c>
      <c r="F21" s="120">
        <v>575.20000000000005</v>
      </c>
      <c r="G21" s="120">
        <v>498.1</v>
      </c>
      <c r="H21" s="120">
        <v>1425</v>
      </c>
      <c r="I21" s="120">
        <v>597.79999999999995</v>
      </c>
      <c r="J21" s="120">
        <v>240.4</v>
      </c>
      <c r="K21" s="120">
        <v>593.6</v>
      </c>
      <c r="L21" s="120">
        <v>882</v>
      </c>
      <c r="M21" s="120">
        <v>1392</v>
      </c>
      <c r="N21" s="98">
        <f t="shared" si="0"/>
        <v>10857.1</v>
      </c>
      <c r="O21" s="98">
        <f t="shared" si="1"/>
        <v>904.75833333333333</v>
      </c>
    </row>
    <row r="22" spans="1:24" ht="15" x14ac:dyDescent="0.25">
      <c r="A22" s="152">
        <v>2010</v>
      </c>
      <c r="B22" s="120">
        <v>1173</v>
      </c>
      <c r="C22" s="120">
        <v>1309</v>
      </c>
      <c r="D22" s="120">
        <v>3523</v>
      </c>
      <c r="E22" s="120">
        <v>1949</v>
      </c>
      <c r="F22" s="120">
        <v>580.4</v>
      </c>
      <c r="G22" s="120">
        <v>457.4</v>
      </c>
      <c r="H22" s="120">
        <v>145.80000000000001</v>
      </c>
      <c r="I22" s="120">
        <v>144.5</v>
      </c>
      <c r="J22" s="120">
        <v>128.4</v>
      </c>
      <c r="K22" s="120">
        <v>448.3</v>
      </c>
      <c r="L22" s="120">
        <v>522.79999999999995</v>
      </c>
      <c r="M22" s="120">
        <v>751.5</v>
      </c>
      <c r="N22" s="98">
        <f t="shared" si="0"/>
        <v>11133.099999999997</v>
      </c>
      <c r="O22" s="98">
        <f t="shared" si="1"/>
        <v>927.7583333333331</v>
      </c>
    </row>
    <row r="23" spans="1:24" ht="15" x14ac:dyDescent="0.25">
      <c r="A23" s="152">
        <v>2011</v>
      </c>
      <c r="B23" s="120">
        <v>536.79999999999995</v>
      </c>
      <c r="C23" s="120">
        <v>846.1</v>
      </c>
      <c r="D23" s="120">
        <v>2468</v>
      </c>
      <c r="E23" s="120">
        <v>1361</v>
      </c>
      <c r="F23" s="120">
        <v>840.4</v>
      </c>
      <c r="G23" s="120">
        <v>682</v>
      </c>
      <c r="H23" s="120">
        <v>267</v>
      </c>
      <c r="I23" s="120">
        <v>1014</v>
      </c>
      <c r="J23" s="120">
        <v>1417</v>
      </c>
      <c r="K23" s="120">
        <v>1429</v>
      </c>
      <c r="L23" s="120">
        <v>1527</v>
      </c>
      <c r="M23" s="120">
        <v>1811</v>
      </c>
      <c r="N23" s="98">
        <f t="shared" si="0"/>
        <v>14199.3</v>
      </c>
      <c r="O23" s="98">
        <f t="shared" si="1"/>
        <v>1183.2749999999999</v>
      </c>
    </row>
    <row r="24" spans="1:24" ht="15" x14ac:dyDescent="0.25">
      <c r="A24" s="152">
        <v>2012</v>
      </c>
      <c r="B24" s="211">
        <v>1066</v>
      </c>
      <c r="C24" s="211">
        <v>558</v>
      </c>
      <c r="D24" s="211">
        <v>609</v>
      </c>
      <c r="E24" s="211">
        <v>570</v>
      </c>
      <c r="F24" s="211">
        <v>647</v>
      </c>
      <c r="G24" s="211">
        <v>488</v>
      </c>
      <c r="H24" s="211">
        <v>192</v>
      </c>
      <c r="I24" s="211">
        <v>272</v>
      </c>
      <c r="J24" s="211">
        <v>230</v>
      </c>
      <c r="K24" s="211">
        <v>464</v>
      </c>
      <c r="L24" s="211">
        <v>529</v>
      </c>
      <c r="M24" s="211">
        <v>703</v>
      </c>
      <c r="N24" s="77">
        <f t="shared" si="0"/>
        <v>6328</v>
      </c>
      <c r="O24" s="77">
        <f t="shared" si="1"/>
        <v>527.33333333333337</v>
      </c>
    </row>
    <row r="25" spans="1:24" ht="15" x14ac:dyDescent="0.25">
      <c r="A25" s="261" t="s">
        <v>1</v>
      </c>
      <c r="B25" s="262">
        <f>AVERAGE(B3:B24)</f>
        <v>1088.3409090909092</v>
      </c>
      <c r="C25" s="262">
        <f t="shared" ref="C25" si="2">AVERAGE(C3:C24)</f>
        <v>1071.25</v>
      </c>
      <c r="D25" s="262">
        <f t="shared" ref="D25" si="3">AVERAGE(D3:D24)</f>
        <v>1566.1045454545456</v>
      </c>
      <c r="E25" s="262">
        <f t="shared" ref="E25" si="4">AVERAGE(E3:E24)</f>
        <v>1463.1272727272726</v>
      </c>
      <c r="F25" s="262">
        <f t="shared" ref="F25" si="5">AVERAGE(F3:F24)</f>
        <v>881.10909090909092</v>
      </c>
      <c r="G25" s="262">
        <f t="shared" ref="G25" si="6">AVERAGE(G3:G24)</f>
        <v>685.87727272727284</v>
      </c>
      <c r="H25" s="262">
        <f t="shared" ref="H25" si="7">AVERAGE(H3:H24)</f>
        <v>346.52272727272731</v>
      </c>
      <c r="I25" s="262">
        <f t="shared" ref="I25" si="8">AVERAGE(I3:I24)</f>
        <v>302.82727272727277</v>
      </c>
      <c r="J25" s="262">
        <f t="shared" ref="J25" si="9">AVERAGE(J3:J24)</f>
        <v>330.70909090909089</v>
      </c>
      <c r="K25" s="262">
        <f t="shared" ref="K25" si="10">AVERAGE(K3:K24)</f>
        <v>595.05909090909097</v>
      </c>
      <c r="L25" s="262">
        <f t="shared" ref="L25" si="11">AVERAGE(L3:L24)</f>
        <v>729.20909090909083</v>
      </c>
      <c r="M25" s="262">
        <f t="shared" ref="M25" si="12">AVERAGE(M3:M24)</f>
        <v>1086.609090909091</v>
      </c>
      <c r="N25" s="262">
        <f t="shared" ref="N25" si="13">AVERAGE(N3:N24)</f>
        <v>10146.745454545455</v>
      </c>
      <c r="O25" s="262">
        <f t="shared" ref="O25" si="14">AVERAGE(O3:O24)</f>
        <v>845.56212121212116</v>
      </c>
      <c r="P25" s="99"/>
      <c r="Q25" s="100"/>
      <c r="R25" s="100"/>
      <c r="S25" s="100"/>
      <c r="T25" s="100"/>
      <c r="U25" s="100"/>
      <c r="V25" s="100"/>
      <c r="X25" s="5"/>
    </row>
    <row r="26" spans="1:24" ht="15.75" thickBot="1" x14ac:dyDescent="0.3">
      <c r="A26" s="96"/>
      <c r="B26" s="95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X26" s="5"/>
    </row>
    <row r="27" spans="1:24" ht="15.75" thickBot="1" x14ac:dyDescent="0.3">
      <c r="A27" s="116" t="s">
        <v>83</v>
      </c>
      <c r="B27" s="117"/>
      <c r="C27" s="118"/>
      <c r="D27" s="118"/>
      <c r="E27" s="118"/>
      <c r="F27" s="118"/>
      <c r="G27" s="118"/>
      <c r="H27" s="117"/>
      <c r="K27" s="119" t="s">
        <v>46</v>
      </c>
      <c r="L27" s="119"/>
      <c r="M27" s="119"/>
      <c r="N27" s="117"/>
      <c r="O27" s="153">
        <f>+R27/R5</f>
        <v>0.88701923076923073</v>
      </c>
      <c r="P27" s="119"/>
      <c r="Q27" s="119"/>
      <c r="R27" s="209">
        <v>369</v>
      </c>
      <c r="S27" s="119" t="s">
        <v>84</v>
      </c>
      <c r="U27" s="117"/>
      <c r="V27" s="117"/>
      <c r="W27" s="117"/>
      <c r="X27" s="5"/>
    </row>
    <row r="28" spans="1:24" ht="15" x14ac:dyDescent="0.25">
      <c r="A28" s="3" t="s">
        <v>0</v>
      </c>
      <c r="B28" s="2" t="s">
        <v>15</v>
      </c>
      <c r="C28" s="2" t="s">
        <v>16</v>
      </c>
      <c r="D28" s="2" t="s">
        <v>17</v>
      </c>
      <c r="E28" s="2" t="s">
        <v>18</v>
      </c>
      <c r="F28" s="2" t="s">
        <v>7</v>
      </c>
      <c r="G28" s="2" t="s">
        <v>19</v>
      </c>
      <c r="H28" s="2" t="s">
        <v>20</v>
      </c>
      <c r="I28" s="2" t="s">
        <v>21</v>
      </c>
      <c r="J28" s="2" t="s">
        <v>22</v>
      </c>
      <c r="K28" s="2" t="s">
        <v>23</v>
      </c>
      <c r="L28" s="2" t="s">
        <v>24</v>
      </c>
      <c r="M28" s="2" t="s">
        <v>25</v>
      </c>
      <c r="N28" s="2" t="s">
        <v>2</v>
      </c>
      <c r="O28" s="2" t="s">
        <v>1</v>
      </c>
      <c r="P28" s="100"/>
      <c r="Q28" s="100"/>
      <c r="T28" s="100"/>
      <c r="U28" s="100"/>
      <c r="V28" s="100"/>
      <c r="X28" s="5"/>
    </row>
    <row r="29" spans="1:24" ht="15" x14ac:dyDescent="0.25">
      <c r="A29" s="152">
        <v>1991</v>
      </c>
      <c r="B29" s="98">
        <f t="shared" ref="B29:M29" si="15">+B3*$O$27</f>
        <v>839.65240384615379</v>
      </c>
      <c r="C29" s="98">
        <f t="shared" si="15"/>
        <v>982.81730769230762</v>
      </c>
      <c r="D29" s="98">
        <f t="shared" si="15"/>
        <v>1245.375</v>
      </c>
      <c r="E29" s="98">
        <f t="shared" si="15"/>
        <v>908.30769230769226</v>
      </c>
      <c r="F29" s="98">
        <f t="shared" si="15"/>
        <v>764.43317307692303</v>
      </c>
      <c r="G29" s="98">
        <f t="shared" si="15"/>
        <v>256.43725961538462</v>
      </c>
      <c r="H29" s="98">
        <f t="shared" si="15"/>
        <v>158.95384615384614</v>
      </c>
      <c r="I29" s="98">
        <f t="shared" si="15"/>
        <v>473.13605769230765</v>
      </c>
      <c r="J29" s="98">
        <f t="shared" si="15"/>
        <v>483.07067307692307</v>
      </c>
      <c r="K29" s="98">
        <f t="shared" si="15"/>
        <v>527.59903846153838</v>
      </c>
      <c r="L29" s="98">
        <f t="shared" si="15"/>
        <v>1035.1514423076922</v>
      </c>
      <c r="M29" s="98">
        <f t="shared" si="15"/>
        <v>949.99759615384608</v>
      </c>
      <c r="N29" s="98">
        <f t="shared" ref="N29:N50" si="16">SUM(B29:M29)</f>
        <v>8624.9314903846152</v>
      </c>
      <c r="O29" s="98">
        <f t="shared" ref="O29:O50" si="17">AVERAGE(B29:M29)</f>
        <v>718.74429086538464</v>
      </c>
      <c r="P29" s="100"/>
      <c r="Q29" s="100"/>
      <c r="R29" s="100"/>
      <c r="S29" s="100"/>
      <c r="T29" s="100"/>
      <c r="U29" s="100"/>
      <c r="V29" s="100"/>
      <c r="X29" s="5"/>
    </row>
    <row r="30" spans="1:24" x14ac:dyDescent="0.3">
      <c r="A30" s="152">
        <v>1992</v>
      </c>
      <c r="B30" s="98">
        <f t="shared" ref="B30:M30" si="18">+B4*$O$27</f>
        <v>882.051923076923</v>
      </c>
      <c r="C30" s="98">
        <f t="shared" si="18"/>
        <v>656.03942307692307</v>
      </c>
      <c r="D30" s="98">
        <f t="shared" si="18"/>
        <v>941.12740384615381</v>
      </c>
      <c r="E30" s="98">
        <f t="shared" si="18"/>
        <v>965.96394230769226</v>
      </c>
      <c r="F30" s="98">
        <f t="shared" si="18"/>
        <v>552.16947115384608</v>
      </c>
      <c r="G30" s="98">
        <f t="shared" si="18"/>
        <v>637.85552884615379</v>
      </c>
      <c r="H30" s="98">
        <f t="shared" si="18"/>
        <v>217.49711538461537</v>
      </c>
      <c r="I30" s="98">
        <f t="shared" si="18"/>
        <v>375.12043269230765</v>
      </c>
      <c r="J30" s="98">
        <f t="shared" si="18"/>
        <v>226.81081730769228</v>
      </c>
      <c r="K30" s="98">
        <f t="shared" si="18"/>
        <v>240.47091346153846</v>
      </c>
      <c r="L30" s="98">
        <f t="shared" si="18"/>
        <v>573.99014423076926</v>
      </c>
      <c r="M30" s="98">
        <f t="shared" si="18"/>
        <v>1366.8966346153845</v>
      </c>
      <c r="N30" s="98">
        <f t="shared" si="16"/>
        <v>7635.9937500000005</v>
      </c>
      <c r="O30" s="98">
        <f t="shared" si="17"/>
        <v>636.33281250000005</v>
      </c>
      <c r="P30" s="100"/>
      <c r="Q30" s="100"/>
      <c r="R30" s="100"/>
      <c r="S30" s="100"/>
      <c r="T30" s="100"/>
      <c r="U30" s="100"/>
      <c r="V30" s="100"/>
      <c r="X30" s="5"/>
    </row>
    <row r="31" spans="1:24" x14ac:dyDescent="0.3">
      <c r="A31" s="152">
        <v>1993</v>
      </c>
      <c r="B31" s="98">
        <f t="shared" ref="B31:M31" si="19">+B5*$O$27</f>
        <v>1271.0985576923076</v>
      </c>
      <c r="C31" s="98">
        <f t="shared" si="19"/>
        <v>799.73653846153843</v>
      </c>
      <c r="D31" s="98">
        <f t="shared" si="19"/>
        <v>1415.6826923076922</v>
      </c>
      <c r="E31" s="98">
        <f t="shared" si="19"/>
        <v>2092.4783653846152</v>
      </c>
      <c r="F31" s="98">
        <f t="shared" si="19"/>
        <v>568.66802884615379</v>
      </c>
      <c r="G31" s="98">
        <f t="shared" si="19"/>
        <v>243.13197115384617</v>
      </c>
      <c r="H31" s="98">
        <f t="shared" si="19"/>
        <v>134.47211538461536</v>
      </c>
      <c r="I31" s="98">
        <f t="shared" si="19"/>
        <v>89.855048076923069</v>
      </c>
      <c r="J31" s="98">
        <f t="shared" si="19"/>
        <v>181.30673076923077</v>
      </c>
      <c r="K31" s="98">
        <f t="shared" si="19"/>
        <v>224.1497596153846</v>
      </c>
      <c r="L31" s="98">
        <f t="shared" si="19"/>
        <v>421.33413461538458</v>
      </c>
      <c r="M31" s="98">
        <f t="shared" si="19"/>
        <v>1138.0456730769231</v>
      </c>
      <c r="N31" s="98">
        <f t="shared" si="16"/>
        <v>8579.959615384616</v>
      </c>
      <c r="O31" s="98">
        <f t="shared" si="17"/>
        <v>714.99663461538466</v>
      </c>
      <c r="P31" s="100"/>
      <c r="Q31" s="100"/>
      <c r="R31" s="100"/>
      <c r="S31" s="100"/>
      <c r="T31" s="100"/>
      <c r="U31" s="100"/>
      <c r="V31" s="100"/>
      <c r="X31" s="5"/>
    </row>
    <row r="32" spans="1:24" x14ac:dyDescent="0.3">
      <c r="A32" s="152">
        <v>1994</v>
      </c>
      <c r="B32" s="98">
        <f t="shared" ref="B32:M32" si="20">+B6*$O$27</f>
        <v>895.88942307692298</v>
      </c>
      <c r="C32" s="98">
        <f t="shared" si="20"/>
        <v>863.15841346153843</v>
      </c>
      <c r="D32" s="98">
        <f t="shared" si="20"/>
        <v>2137.7163461538462</v>
      </c>
      <c r="E32" s="98">
        <f t="shared" si="20"/>
        <v>1305.6923076923076</v>
      </c>
      <c r="F32" s="98">
        <f t="shared" si="20"/>
        <v>791.57596153846146</v>
      </c>
      <c r="G32" s="98">
        <f t="shared" si="20"/>
        <v>269.03293269230767</v>
      </c>
      <c r="H32" s="98">
        <f t="shared" si="20"/>
        <v>178.46826923076921</v>
      </c>
      <c r="I32" s="98">
        <f t="shared" si="20"/>
        <v>350.54999999999995</v>
      </c>
      <c r="J32" s="98">
        <f t="shared" si="20"/>
        <v>322.25408653846154</v>
      </c>
      <c r="K32" s="98">
        <f t="shared" si="20"/>
        <v>273.29062500000003</v>
      </c>
      <c r="L32" s="98">
        <f t="shared" si="20"/>
        <v>509.59254807692304</v>
      </c>
      <c r="M32" s="98">
        <f t="shared" si="20"/>
        <v>1134.4975961538462</v>
      </c>
      <c r="N32" s="98">
        <f t="shared" si="16"/>
        <v>9031.7185096153826</v>
      </c>
      <c r="O32" s="98">
        <f t="shared" si="17"/>
        <v>752.64320913461518</v>
      </c>
      <c r="P32" s="100"/>
      <c r="Q32" s="100"/>
      <c r="R32" s="100"/>
      <c r="S32" s="100"/>
      <c r="T32" s="100"/>
      <c r="U32" s="100"/>
      <c r="V32" s="100"/>
      <c r="X32" s="5"/>
    </row>
    <row r="33" spans="1:26" x14ac:dyDescent="0.3">
      <c r="A33" s="152">
        <v>1995</v>
      </c>
      <c r="B33" s="98">
        <f t="shared" ref="B33:M33" si="21">+B7*$O$27</f>
        <v>1264.0024038461538</v>
      </c>
      <c r="C33" s="98">
        <f t="shared" si="21"/>
        <v>734.45192307692309</v>
      </c>
      <c r="D33" s="98">
        <f t="shared" si="21"/>
        <v>998.78365384615381</v>
      </c>
      <c r="E33" s="98">
        <f t="shared" si="21"/>
        <v>571.32908653846152</v>
      </c>
      <c r="F33" s="98">
        <f t="shared" si="21"/>
        <v>455.57307692307694</v>
      </c>
      <c r="G33" s="98">
        <f t="shared" si="21"/>
        <v>213.94903846153844</v>
      </c>
      <c r="H33" s="98">
        <f t="shared" si="21"/>
        <v>128.08557692307693</v>
      </c>
      <c r="I33" s="98">
        <f t="shared" si="21"/>
        <v>112.47403846153846</v>
      </c>
      <c r="J33" s="98">
        <f t="shared" si="21"/>
        <v>94.290144230769229</v>
      </c>
      <c r="K33" s="98">
        <f t="shared" si="21"/>
        <v>449.63004807692306</v>
      </c>
      <c r="L33" s="98">
        <f t="shared" si="21"/>
        <v>967.73798076923072</v>
      </c>
      <c r="M33" s="98">
        <f t="shared" si="21"/>
        <v>474.46658653846151</v>
      </c>
      <c r="N33" s="98">
        <f t="shared" si="16"/>
        <v>6464.7735576923069</v>
      </c>
      <c r="O33" s="98">
        <f t="shared" si="17"/>
        <v>538.73112980769224</v>
      </c>
      <c r="P33" s="100"/>
      <c r="Q33" s="100"/>
      <c r="R33" s="100"/>
      <c r="S33" s="100"/>
      <c r="T33" s="100"/>
      <c r="U33" s="100"/>
      <c r="V33" s="100"/>
      <c r="X33" s="5"/>
    </row>
    <row r="34" spans="1:26" x14ac:dyDescent="0.3">
      <c r="A34" s="152">
        <v>1996</v>
      </c>
      <c r="B34" s="98">
        <f t="shared" ref="B34:M34" si="22">+B8*$O$27</f>
        <v>1513.2548076923076</v>
      </c>
      <c r="C34" s="98">
        <f t="shared" si="22"/>
        <v>1528.3341346153845</v>
      </c>
      <c r="D34" s="98">
        <f t="shared" si="22"/>
        <v>1228.5216346153845</v>
      </c>
      <c r="E34" s="98">
        <f t="shared" si="22"/>
        <v>1589.5384615384614</v>
      </c>
      <c r="F34" s="98">
        <f t="shared" si="22"/>
        <v>1083.0504807692307</v>
      </c>
      <c r="G34" s="98">
        <f t="shared" si="22"/>
        <v>404.56947115384617</v>
      </c>
      <c r="H34" s="98">
        <f t="shared" si="22"/>
        <v>497.26298076923075</v>
      </c>
      <c r="I34" s="98">
        <f t="shared" si="22"/>
        <v>260.69495192307687</v>
      </c>
      <c r="J34" s="98">
        <f t="shared" si="22"/>
        <v>503.64951923076916</v>
      </c>
      <c r="K34" s="98">
        <f t="shared" si="22"/>
        <v>1201.0240384615383</v>
      </c>
      <c r="L34" s="98">
        <f t="shared" si="22"/>
        <v>846.57115384615383</v>
      </c>
      <c r="M34" s="98">
        <f t="shared" si="22"/>
        <v>2103.1225961538462</v>
      </c>
      <c r="N34" s="98">
        <f t="shared" si="16"/>
        <v>12759.594230769231</v>
      </c>
      <c r="O34" s="98">
        <f t="shared" si="17"/>
        <v>1063.2995192307692</v>
      </c>
      <c r="P34" s="100"/>
      <c r="Q34" s="100"/>
      <c r="R34" s="100"/>
      <c r="S34" s="100"/>
      <c r="T34" s="100"/>
      <c r="U34" s="100"/>
      <c r="V34" s="100"/>
      <c r="X34" s="5"/>
    </row>
    <row r="35" spans="1:26" x14ac:dyDescent="0.3">
      <c r="A35" s="152">
        <v>1997</v>
      </c>
      <c r="B35" s="98">
        <f t="shared" ref="B35:M35" si="23">+B9*$O$27</f>
        <v>1169.9783653846152</v>
      </c>
      <c r="C35" s="98">
        <f t="shared" si="23"/>
        <v>1024.5072115384614</v>
      </c>
      <c r="D35" s="98">
        <f t="shared" si="23"/>
        <v>938.46634615384608</v>
      </c>
      <c r="E35" s="98">
        <f t="shared" si="23"/>
        <v>1872.497596153846</v>
      </c>
      <c r="F35" s="98">
        <f t="shared" si="23"/>
        <v>826.25841346153845</v>
      </c>
      <c r="G35" s="98">
        <f t="shared" si="23"/>
        <v>261.93677884615386</v>
      </c>
      <c r="H35" s="98">
        <f t="shared" si="23"/>
        <v>111.94182692307692</v>
      </c>
      <c r="I35" s="98">
        <f t="shared" si="23"/>
        <v>110.43389423076923</v>
      </c>
      <c r="J35" s="98">
        <f t="shared" si="23"/>
        <v>91.895192307692298</v>
      </c>
      <c r="K35" s="98">
        <f t="shared" si="23"/>
        <v>109.1920673076923</v>
      </c>
      <c r="L35" s="98">
        <f t="shared" si="23"/>
        <v>382.6600961538461</v>
      </c>
      <c r="M35" s="98">
        <f t="shared" si="23"/>
        <v>306.55384615384617</v>
      </c>
      <c r="N35" s="98">
        <f t="shared" si="16"/>
        <v>7206.321634615384</v>
      </c>
      <c r="O35" s="98">
        <f t="shared" si="17"/>
        <v>600.52680288461534</v>
      </c>
      <c r="P35" s="100"/>
      <c r="Q35" s="100"/>
      <c r="R35" s="100"/>
      <c r="S35" s="100"/>
      <c r="T35" s="100"/>
      <c r="U35" s="100"/>
      <c r="V35" s="100"/>
      <c r="X35" s="5"/>
    </row>
    <row r="36" spans="1:26" x14ac:dyDescent="0.3">
      <c r="A36" s="152">
        <v>1998</v>
      </c>
      <c r="B36" s="98">
        <f t="shared" ref="B36:M36" si="24">+B10*$O$27</f>
        <v>1133.6105769230769</v>
      </c>
      <c r="C36" s="98">
        <f t="shared" si="24"/>
        <v>1443.1802884615383</v>
      </c>
      <c r="D36" s="98">
        <f t="shared" si="24"/>
        <v>1991.3581730769231</v>
      </c>
      <c r="E36" s="98">
        <f t="shared" si="24"/>
        <v>1056.4399038461538</v>
      </c>
      <c r="F36" s="98">
        <f t="shared" si="24"/>
        <v>1262.2283653846152</v>
      </c>
      <c r="G36" s="98">
        <f t="shared" si="24"/>
        <v>1520.3509615384614</v>
      </c>
      <c r="H36" s="98">
        <f t="shared" si="24"/>
        <v>762.57043269230769</v>
      </c>
      <c r="I36" s="98">
        <f t="shared" si="24"/>
        <v>192.30576923076924</v>
      </c>
      <c r="J36" s="98">
        <f t="shared" si="24"/>
        <v>137.13317307692307</v>
      </c>
      <c r="K36" s="98">
        <f t="shared" si="24"/>
        <v>413.35096153846149</v>
      </c>
      <c r="L36" s="98">
        <f t="shared" si="24"/>
        <v>297.77235576923073</v>
      </c>
      <c r="M36" s="98">
        <f t="shared" si="24"/>
        <v>266.19447115384617</v>
      </c>
      <c r="N36" s="98">
        <f t="shared" si="16"/>
        <v>10476.495432692305</v>
      </c>
      <c r="O36" s="98">
        <f t="shared" si="17"/>
        <v>873.0412860576921</v>
      </c>
      <c r="P36" s="98"/>
      <c r="Q36" s="98"/>
      <c r="R36" s="97"/>
      <c r="S36" s="98"/>
      <c r="T36" s="98"/>
      <c r="U36" s="99"/>
      <c r="V36" s="99"/>
      <c r="X36" s="5"/>
    </row>
    <row r="37" spans="1:26" x14ac:dyDescent="0.3">
      <c r="A37" s="152">
        <v>1999</v>
      </c>
      <c r="B37" s="98">
        <f t="shared" ref="B37:M37" si="25">+B11*$O$27</f>
        <v>1240.0528846153845</v>
      </c>
      <c r="C37" s="98">
        <f t="shared" si="25"/>
        <v>1331.4158653846152</v>
      </c>
      <c r="D37" s="98">
        <f t="shared" si="25"/>
        <v>1441.40625</v>
      </c>
      <c r="E37" s="98">
        <f t="shared" si="25"/>
        <v>557.31418269230767</v>
      </c>
      <c r="F37" s="98">
        <f t="shared" si="25"/>
        <v>423.46298076923074</v>
      </c>
      <c r="G37" s="98">
        <f t="shared" si="25"/>
        <v>121.078125</v>
      </c>
      <c r="H37" s="98">
        <f t="shared" si="25"/>
        <v>106.79711538461538</v>
      </c>
      <c r="I37" s="98">
        <f t="shared" si="25"/>
        <v>63.421875</v>
      </c>
      <c r="J37" s="98">
        <f t="shared" si="25"/>
        <v>384.25673076923073</v>
      </c>
      <c r="K37" s="98">
        <f t="shared" si="25"/>
        <v>416.89903846153845</v>
      </c>
      <c r="L37" s="98">
        <f t="shared" si="25"/>
        <v>409.18197115384612</v>
      </c>
      <c r="M37" s="98">
        <f t="shared" si="25"/>
        <v>533.09855769230762</v>
      </c>
      <c r="N37" s="98">
        <f t="shared" si="16"/>
        <v>7028.3855769230768</v>
      </c>
      <c r="O37" s="98">
        <f t="shared" si="17"/>
        <v>585.69879807692303</v>
      </c>
      <c r="P37" s="98"/>
      <c r="Q37" s="98"/>
      <c r="R37" s="97"/>
      <c r="S37" s="98"/>
      <c r="T37" s="98"/>
      <c r="U37" s="99"/>
      <c r="V37" s="99"/>
      <c r="X37" s="5"/>
    </row>
    <row r="38" spans="1:26" x14ac:dyDescent="0.3">
      <c r="A38" s="152">
        <v>2000</v>
      </c>
      <c r="B38" s="98">
        <f t="shared" ref="B38:M38" si="26">+B12*$O$27</f>
        <v>615.59134615384608</v>
      </c>
      <c r="C38" s="98">
        <f t="shared" si="26"/>
        <v>826.96802884615374</v>
      </c>
      <c r="D38" s="98">
        <f t="shared" si="26"/>
        <v>1218.7644230769231</v>
      </c>
      <c r="E38" s="98">
        <f t="shared" si="26"/>
        <v>1537.2043269230769</v>
      </c>
      <c r="F38" s="98">
        <f t="shared" si="26"/>
        <v>911.85576923076917</v>
      </c>
      <c r="G38" s="98">
        <f t="shared" si="26"/>
        <v>954.43269230769226</v>
      </c>
      <c r="H38" s="98">
        <f t="shared" si="26"/>
        <v>277.63701923076923</v>
      </c>
      <c r="I38" s="98">
        <f t="shared" si="26"/>
        <v>241.09182692307692</v>
      </c>
      <c r="J38" s="98">
        <f t="shared" si="26"/>
        <v>167.02572115384615</v>
      </c>
      <c r="K38" s="98">
        <f t="shared" si="26"/>
        <v>212.9733173076923</v>
      </c>
      <c r="L38" s="98">
        <f t="shared" si="26"/>
        <v>349.84038461538455</v>
      </c>
      <c r="M38" s="98">
        <f t="shared" si="26"/>
        <v>615.85745192307684</v>
      </c>
      <c r="N38" s="98">
        <f t="shared" si="16"/>
        <v>7929.2423076923078</v>
      </c>
      <c r="O38" s="98">
        <f t="shared" si="17"/>
        <v>660.77019230769235</v>
      </c>
      <c r="P38" s="2"/>
      <c r="Q38" s="2"/>
      <c r="R38" s="2"/>
      <c r="S38" s="2"/>
      <c r="T38" s="2"/>
      <c r="U38" s="2"/>
      <c r="V38" s="2"/>
      <c r="W38" s="2"/>
      <c r="X38" s="2"/>
      <c r="Z38" s="2"/>
    </row>
    <row r="39" spans="1:26" x14ac:dyDescent="0.3">
      <c r="A39" s="152">
        <v>2001</v>
      </c>
      <c r="B39" s="98">
        <f t="shared" ref="B39:M39" si="27">+B13*$O$27</f>
        <v>369.17740384615382</v>
      </c>
      <c r="C39" s="98">
        <f t="shared" si="27"/>
        <v>574.43365384615379</v>
      </c>
      <c r="D39" s="98">
        <f t="shared" si="27"/>
        <v>2060.5456730769229</v>
      </c>
      <c r="E39" s="98">
        <f t="shared" si="27"/>
        <v>1703.0769230769231</v>
      </c>
      <c r="F39" s="98">
        <f t="shared" si="27"/>
        <v>392.86081730769229</v>
      </c>
      <c r="G39" s="98">
        <f t="shared" si="27"/>
        <v>900.32451923076917</v>
      </c>
      <c r="H39" s="98">
        <f t="shared" si="27"/>
        <v>358.35576923076923</v>
      </c>
      <c r="I39" s="98">
        <f t="shared" si="27"/>
        <v>211.64278846153846</v>
      </c>
      <c r="J39" s="98">
        <f t="shared" si="27"/>
        <v>132.609375</v>
      </c>
      <c r="K39" s="98">
        <f t="shared" si="27"/>
        <v>132.43197115384615</v>
      </c>
      <c r="L39" s="98">
        <f t="shared" si="27"/>
        <v>139.52812500000002</v>
      </c>
      <c r="M39" s="98">
        <f t="shared" si="27"/>
        <v>197.09567307692305</v>
      </c>
      <c r="N39" s="98">
        <f t="shared" si="16"/>
        <v>7172.082692307692</v>
      </c>
      <c r="O39" s="98">
        <f t="shared" si="17"/>
        <v>597.67355769230767</v>
      </c>
    </row>
    <row r="40" spans="1:26" x14ac:dyDescent="0.3">
      <c r="A40" s="152">
        <v>2002</v>
      </c>
      <c r="B40" s="98">
        <f t="shared" ref="B40:M40" si="28">+B14*$O$27</f>
        <v>239.58389423076923</v>
      </c>
      <c r="C40" s="98">
        <f t="shared" si="28"/>
        <v>305.66682692307694</v>
      </c>
      <c r="D40" s="98">
        <f t="shared" si="28"/>
        <v>551.9920673076922</v>
      </c>
      <c r="E40" s="98">
        <f t="shared" si="28"/>
        <v>598.38317307692307</v>
      </c>
      <c r="F40" s="98">
        <f t="shared" si="28"/>
        <v>990.80048076923072</v>
      </c>
      <c r="G40" s="98">
        <f t="shared" si="28"/>
        <v>620.11514423076926</v>
      </c>
      <c r="H40" s="98">
        <f t="shared" si="28"/>
        <v>136.15745192307691</v>
      </c>
      <c r="I40" s="98">
        <f t="shared" si="28"/>
        <v>90.387259615384622</v>
      </c>
      <c r="J40" s="98">
        <f t="shared" si="28"/>
        <v>116.465625</v>
      </c>
      <c r="K40" s="98">
        <f t="shared" si="28"/>
        <v>245.34951923076923</v>
      </c>
      <c r="L40" s="98">
        <f t="shared" si="28"/>
        <v>556.16105769230762</v>
      </c>
      <c r="M40" s="98">
        <f t="shared" si="28"/>
        <v>1018.2980769230769</v>
      </c>
      <c r="N40" s="98">
        <f t="shared" si="16"/>
        <v>5469.3605769230771</v>
      </c>
      <c r="O40" s="98">
        <f t="shared" si="17"/>
        <v>455.78004807692309</v>
      </c>
      <c r="P40" s="98"/>
      <c r="Q40" s="98"/>
      <c r="R40" s="98"/>
      <c r="S40" s="98"/>
      <c r="T40" s="98"/>
      <c r="U40" s="98"/>
      <c r="V40" s="98"/>
      <c r="W40" s="129"/>
      <c r="X40" s="129"/>
      <c r="Y40" s="72"/>
    </row>
    <row r="41" spans="1:26" x14ac:dyDescent="0.3">
      <c r="A41" s="152">
        <v>2003</v>
      </c>
      <c r="B41" s="98">
        <f t="shared" ref="B41:M41" si="29">+B15*$O$27</f>
        <v>791.13245192307681</v>
      </c>
      <c r="C41" s="98">
        <f t="shared" si="29"/>
        <v>684.51274038461543</v>
      </c>
      <c r="D41" s="98">
        <f t="shared" si="29"/>
        <v>1664.0480769230769</v>
      </c>
      <c r="E41" s="98">
        <f t="shared" si="29"/>
        <v>1543.4134615384614</v>
      </c>
      <c r="F41" s="98">
        <f t="shared" si="29"/>
        <v>819.42836538461529</v>
      </c>
      <c r="G41" s="98">
        <f t="shared" si="29"/>
        <v>1449.3894230769231</v>
      </c>
      <c r="H41" s="98">
        <f t="shared" si="29"/>
        <v>372.90288461538455</v>
      </c>
      <c r="I41" s="98">
        <f t="shared" si="29"/>
        <v>388.07091346153845</v>
      </c>
      <c r="J41" s="98">
        <f t="shared" si="29"/>
        <v>276.12908653846154</v>
      </c>
      <c r="K41" s="98">
        <f t="shared" si="29"/>
        <v>486.88485576923074</v>
      </c>
      <c r="L41" s="98">
        <f t="shared" si="29"/>
        <v>649.83028846153843</v>
      </c>
      <c r="M41" s="98">
        <f t="shared" si="29"/>
        <v>1288.8389423076922</v>
      </c>
      <c r="N41" s="98">
        <f t="shared" si="16"/>
        <v>10414.581490384613</v>
      </c>
      <c r="O41" s="98">
        <f t="shared" si="17"/>
        <v>867.88179086538446</v>
      </c>
      <c r="P41" s="98"/>
      <c r="Q41" s="98"/>
      <c r="R41" s="98"/>
      <c r="S41" s="98"/>
      <c r="T41" s="98"/>
      <c r="U41" s="98"/>
      <c r="V41" s="98"/>
      <c r="W41" s="129"/>
      <c r="X41" s="129"/>
      <c r="Y41" s="72"/>
    </row>
    <row r="42" spans="1:26" x14ac:dyDescent="0.3">
      <c r="A42" s="152">
        <v>2004</v>
      </c>
      <c r="B42" s="98">
        <f t="shared" ref="B42:M42" si="30">+B16*$O$27</f>
        <v>723.89639423076926</v>
      </c>
      <c r="C42" s="98">
        <f t="shared" si="30"/>
        <v>468.96706730769233</v>
      </c>
      <c r="D42" s="98">
        <f t="shared" si="30"/>
        <v>642.02451923076922</v>
      </c>
      <c r="E42" s="98">
        <f t="shared" si="30"/>
        <v>2096.9134615384614</v>
      </c>
      <c r="F42" s="98">
        <f t="shared" si="30"/>
        <v>918.95192307692298</v>
      </c>
      <c r="G42" s="98">
        <f t="shared" si="30"/>
        <v>334.14014423076918</v>
      </c>
      <c r="H42" s="98">
        <f t="shared" si="30"/>
        <v>231.06850961538461</v>
      </c>
      <c r="I42" s="98">
        <f t="shared" si="30"/>
        <v>237.10024038461538</v>
      </c>
      <c r="J42" s="98">
        <f t="shared" si="30"/>
        <v>419.56009615384613</v>
      </c>
      <c r="K42" s="98">
        <f t="shared" si="30"/>
        <v>513.051923076923</v>
      </c>
      <c r="L42" s="98">
        <f t="shared" si="30"/>
        <v>545.78293269230767</v>
      </c>
      <c r="M42" s="98">
        <f t="shared" si="30"/>
        <v>1271.9855769230769</v>
      </c>
      <c r="N42" s="98">
        <f t="shared" si="16"/>
        <v>8403.4427884615379</v>
      </c>
      <c r="O42" s="98">
        <f t="shared" si="17"/>
        <v>700.28689903846146</v>
      </c>
      <c r="P42" s="98"/>
      <c r="Q42" s="98"/>
      <c r="R42" s="98"/>
      <c r="S42" s="98"/>
      <c r="T42" s="98"/>
      <c r="U42" s="98"/>
      <c r="V42" s="98"/>
      <c r="W42" s="129"/>
      <c r="X42" s="129"/>
      <c r="Y42" s="72"/>
    </row>
    <row r="43" spans="1:26" x14ac:dyDescent="0.3">
      <c r="A43" s="152">
        <v>2005</v>
      </c>
      <c r="B43" s="98">
        <f t="shared" ref="B43:M43" si="31">+B17*$O$27</f>
        <v>1507.0456730769231</v>
      </c>
      <c r="C43" s="98">
        <f t="shared" si="31"/>
        <v>1214.3293269230769</v>
      </c>
      <c r="D43" s="98">
        <f t="shared" si="31"/>
        <v>1224.0865384615383</v>
      </c>
      <c r="E43" s="98">
        <f t="shared" si="31"/>
        <v>1833.46875</v>
      </c>
      <c r="F43" s="98">
        <f t="shared" si="31"/>
        <v>1095.46875</v>
      </c>
      <c r="G43" s="98">
        <f t="shared" si="31"/>
        <v>386.03076923076918</v>
      </c>
      <c r="H43" s="98">
        <f t="shared" si="31"/>
        <v>345.9375</v>
      </c>
      <c r="I43" s="98">
        <f t="shared" si="31"/>
        <v>134.38341346153845</v>
      </c>
      <c r="J43" s="98">
        <f t="shared" si="31"/>
        <v>137.57668269230768</v>
      </c>
      <c r="K43" s="98">
        <f t="shared" si="31"/>
        <v>2351.4879807692305</v>
      </c>
      <c r="L43" s="98">
        <f t="shared" si="31"/>
        <v>1305.6923076923076</v>
      </c>
      <c r="M43" s="98">
        <f t="shared" si="31"/>
        <v>1229.4086538461538</v>
      </c>
      <c r="N43" s="98">
        <f t="shared" si="16"/>
        <v>12764.916346153846</v>
      </c>
      <c r="O43" s="98">
        <f t="shared" si="17"/>
        <v>1063.7430288461539</v>
      </c>
      <c r="P43" s="98"/>
      <c r="Q43" s="98"/>
      <c r="R43" s="98"/>
      <c r="S43" s="98"/>
      <c r="T43" s="98"/>
      <c r="U43" s="98"/>
      <c r="V43" s="98"/>
      <c r="W43" s="129"/>
      <c r="X43" s="129"/>
      <c r="Y43" s="72"/>
    </row>
    <row r="44" spans="1:26" x14ac:dyDescent="0.3">
      <c r="A44" s="152">
        <v>2006</v>
      </c>
      <c r="B44" s="98">
        <f t="shared" ref="B44:M44" si="32">+B18*$O$27</f>
        <v>1662.2740384615383</v>
      </c>
      <c r="C44" s="98">
        <f t="shared" si="32"/>
        <v>1551.3966346153845</v>
      </c>
      <c r="D44" s="98">
        <f t="shared" si="32"/>
        <v>505.77836538461543</v>
      </c>
      <c r="E44" s="98">
        <f t="shared" si="32"/>
        <v>408.73846153846154</v>
      </c>
      <c r="F44" s="98">
        <f t="shared" si="32"/>
        <v>1255.1322115384614</v>
      </c>
      <c r="G44" s="98">
        <f t="shared" si="32"/>
        <v>2180.2932692307691</v>
      </c>
      <c r="H44" s="98">
        <f t="shared" si="32"/>
        <v>449.54134615384612</v>
      </c>
      <c r="I44" s="98">
        <f t="shared" si="32"/>
        <v>214.48124999999999</v>
      </c>
      <c r="J44" s="98">
        <f t="shared" si="32"/>
        <v>211.19927884615382</v>
      </c>
      <c r="K44" s="98">
        <f t="shared" si="32"/>
        <v>435.70384615384614</v>
      </c>
      <c r="L44" s="98">
        <f t="shared" si="32"/>
        <v>1267.5504807692307</v>
      </c>
      <c r="M44" s="98">
        <f t="shared" si="32"/>
        <v>809.49374999999998</v>
      </c>
      <c r="N44" s="98">
        <f t="shared" si="16"/>
        <v>10951.582932692309</v>
      </c>
      <c r="O44" s="98">
        <f t="shared" si="17"/>
        <v>912.63191105769238</v>
      </c>
      <c r="P44" s="98"/>
      <c r="Q44" s="98"/>
      <c r="R44" s="98"/>
      <c r="S44" s="98"/>
      <c r="T44" s="98"/>
      <c r="U44" s="98"/>
      <c r="V44" s="98"/>
      <c r="W44" s="129"/>
      <c r="X44" s="129"/>
      <c r="Y44" s="72"/>
    </row>
    <row r="45" spans="1:26" x14ac:dyDescent="0.3">
      <c r="A45" s="152">
        <v>2007</v>
      </c>
      <c r="B45" s="98">
        <f t="shared" ref="B45:M45" si="33">+B19*$O$27</f>
        <v>876.10889423076924</v>
      </c>
      <c r="C45" s="98">
        <f t="shared" si="33"/>
        <v>307.97307692307692</v>
      </c>
      <c r="D45" s="98">
        <f t="shared" si="33"/>
        <v>1452.0504807692307</v>
      </c>
      <c r="E45" s="98">
        <f t="shared" si="33"/>
        <v>2418.0144230769229</v>
      </c>
      <c r="F45" s="98">
        <f t="shared" si="33"/>
        <v>1063.5360576923076</v>
      </c>
      <c r="G45" s="98">
        <f t="shared" si="33"/>
        <v>480.85312499999998</v>
      </c>
      <c r="H45" s="98">
        <f t="shared" si="33"/>
        <v>165.07427884615385</v>
      </c>
      <c r="I45" s="98">
        <f t="shared" si="33"/>
        <v>99.789663461538453</v>
      </c>
      <c r="J45" s="98">
        <f t="shared" si="33"/>
        <v>91.096874999999997</v>
      </c>
      <c r="K45" s="98">
        <f t="shared" si="33"/>
        <v>174.03317307692305</v>
      </c>
      <c r="L45" s="98">
        <f t="shared" si="33"/>
        <v>185.29831730769232</v>
      </c>
      <c r="M45" s="98">
        <f t="shared" si="33"/>
        <v>278.70144230769228</v>
      </c>
      <c r="N45" s="98">
        <f t="shared" si="16"/>
        <v>7592.5298076923073</v>
      </c>
      <c r="O45" s="98">
        <f t="shared" si="17"/>
        <v>632.71081730769231</v>
      </c>
      <c r="P45" s="98"/>
      <c r="Q45" s="98"/>
      <c r="R45" s="98"/>
      <c r="S45" s="98"/>
      <c r="T45" s="98"/>
      <c r="U45" s="98"/>
      <c r="V45" s="98"/>
      <c r="W45" s="129"/>
      <c r="X45" s="129"/>
      <c r="Y45" s="72"/>
    </row>
    <row r="46" spans="1:26" x14ac:dyDescent="0.3">
      <c r="A46" s="152">
        <v>2008</v>
      </c>
      <c r="B46" s="98">
        <f t="shared" ref="B46:M46" si="34">+B20*$O$27</f>
        <v>746.6040865384615</v>
      </c>
      <c r="C46" s="98">
        <f t="shared" si="34"/>
        <v>2270.7692307692305</v>
      </c>
      <c r="D46" s="98">
        <f t="shared" si="34"/>
        <v>1972.7307692307691</v>
      </c>
      <c r="E46" s="98">
        <f t="shared" si="34"/>
        <v>965.96394230769226</v>
      </c>
      <c r="F46" s="98">
        <f t="shared" si="34"/>
        <v>674.489423076923</v>
      </c>
      <c r="G46" s="98">
        <f t="shared" si="34"/>
        <v>265.21875</v>
      </c>
      <c r="H46" s="98">
        <f t="shared" si="34"/>
        <v>328.99543269230765</v>
      </c>
      <c r="I46" s="98">
        <f t="shared" si="34"/>
        <v>465.41899038461543</v>
      </c>
      <c r="J46" s="98">
        <f t="shared" si="34"/>
        <v>689.21394230769226</v>
      </c>
      <c r="K46" s="98">
        <f t="shared" si="34"/>
        <v>601.39903846153845</v>
      </c>
      <c r="L46" s="98">
        <f t="shared" si="34"/>
        <v>716.62283653846146</v>
      </c>
      <c r="M46" s="98">
        <f t="shared" si="34"/>
        <v>2090.7043269230767</v>
      </c>
      <c r="N46" s="98">
        <f t="shared" si="16"/>
        <v>11788.130769230769</v>
      </c>
      <c r="O46" s="98">
        <f t="shared" si="17"/>
        <v>982.34423076923076</v>
      </c>
      <c r="P46" s="98"/>
      <c r="Q46" s="98"/>
      <c r="R46" s="98"/>
      <c r="S46" s="98"/>
      <c r="T46" s="98"/>
      <c r="U46" s="98"/>
      <c r="V46" s="98"/>
      <c r="W46" s="129"/>
      <c r="X46" s="129"/>
      <c r="Y46" s="72"/>
    </row>
    <row r="47" spans="1:26" x14ac:dyDescent="0.3">
      <c r="A47" s="152">
        <v>2009</v>
      </c>
      <c r="B47" s="98">
        <f t="shared" ref="B47:M47" si="35">+B21*$O$27</f>
        <v>1035.1514423076922</v>
      </c>
      <c r="C47" s="98">
        <f t="shared" si="35"/>
        <v>929.59615384615381</v>
      </c>
      <c r="D47" s="98">
        <f t="shared" si="35"/>
        <v>1076.8413461538462</v>
      </c>
      <c r="E47" s="98">
        <f t="shared" si="35"/>
        <v>1085.7115384615383</v>
      </c>
      <c r="F47" s="98">
        <f t="shared" si="35"/>
        <v>510.21346153846156</v>
      </c>
      <c r="G47" s="98">
        <f t="shared" si="35"/>
        <v>441.82427884615385</v>
      </c>
      <c r="H47" s="98">
        <f t="shared" si="35"/>
        <v>1264.0024038461538</v>
      </c>
      <c r="I47" s="98">
        <f t="shared" si="35"/>
        <v>530.26009615384612</v>
      </c>
      <c r="J47" s="98">
        <f t="shared" si="35"/>
        <v>213.23942307692306</v>
      </c>
      <c r="K47" s="98">
        <f t="shared" si="35"/>
        <v>526.53461538461534</v>
      </c>
      <c r="L47" s="98">
        <f t="shared" si="35"/>
        <v>782.35096153846155</v>
      </c>
      <c r="M47" s="98">
        <f t="shared" si="35"/>
        <v>1234.7307692307693</v>
      </c>
      <c r="N47" s="98">
        <f t="shared" si="16"/>
        <v>9630.4564903846149</v>
      </c>
      <c r="O47" s="98">
        <f t="shared" si="17"/>
        <v>802.53804086538457</v>
      </c>
      <c r="P47" s="98"/>
      <c r="Q47" s="98"/>
      <c r="R47" s="98"/>
      <c r="S47" s="98"/>
      <c r="T47" s="98"/>
      <c r="U47" s="98"/>
      <c r="V47" s="98"/>
      <c r="W47" s="129"/>
      <c r="X47" s="129"/>
      <c r="Y47" s="72"/>
    </row>
    <row r="48" spans="1:26" x14ac:dyDescent="0.3">
      <c r="A48" s="152">
        <v>2010</v>
      </c>
      <c r="B48" s="98">
        <f t="shared" ref="B48:M48" si="36">+B22*$O$27</f>
        <v>1040.4735576923076</v>
      </c>
      <c r="C48" s="98">
        <f t="shared" si="36"/>
        <v>1161.1081730769231</v>
      </c>
      <c r="D48" s="98">
        <f t="shared" si="36"/>
        <v>3124.96875</v>
      </c>
      <c r="E48" s="98">
        <f t="shared" si="36"/>
        <v>1728.8004807692307</v>
      </c>
      <c r="F48" s="98">
        <f t="shared" si="36"/>
        <v>514.82596153846146</v>
      </c>
      <c r="G48" s="98">
        <f t="shared" si="36"/>
        <v>405.7225961538461</v>
      </c>
      <c r="H48" s="98">
        <f t="shared" si="36"/>
        <v>129.32740384615386</v>
      </c>
      <c r="I48" s="98">
        <f t="shared" si="36"/>
        <v>128.17427884615384</v>
      </c>
      <c r="J48" s="98">
        <f t="shared" si="36"/>
        <v>113.89326923076923</v>
      </c>
      <c r="K48" s="98">
        <f t="shared" si="36"/>
        <v>397.65072115384612</v>
      </c>
      <c r="L48" s="98">
        <f t="shared" si="36"/>
        <v>463.7336538461538</v>
      </c>
      <c r="M48" s="98">
        <f t="shared" si="36"/>
        <v>666.59495192307691</v>
      </c>
      <c r="N48" s="98">
        <f t="shared" si="16"/>
        <v>9875.2737980769216</v>
      </c>
      <c r="O48" s="98">
        <f t="shared" si="17"/>
        <v>822.93948317307684</v>
      </c>
      <c r="P48" s="98"/>
      <c r="Q48" s="98"/>
      <c r="R48" s="98"/>
      <c r="S48" s="98"/>
      <c r="T48" s="98"/>
      <c r="U48" s="98"/>
      <c r="V48" s="98"/>
      <c r="W48" s="129"/>
      <c r="X48" s="129"/>
      <c r="Y48" s="72"/>
    </row>
    <row r="49" spans="1:25" x14ac:dyDescent="0.3">
      <c r="A49" s="152">
        <v>2011</v>
      </c>
      <c r="B49" s="98">
        <f t="shared" ref="B49:M49" si="37">+B23*$O$27</f>
        <v>476.15192307692303</v>
      </c>
      <c r="C49" s="98">
        <f t="shared" si="37"/>
        <v>750.50697115384617</v>
      </c>
      <c r="D49" s="98">
        <f t="shared" si="37"/>
        <v>2189.1634615384614</v>
      </c>
      <c r="E49" s="98">
        <f t="shared" si="37"/>
        <v>1207.2331730769231</v>
      </c>
      <c r="F49" s="98">
        <f t="shared" si="37"/>
        <v>745.45096153846146</v>
      </c>
      <c r="G49" s="98">
        <f t="shared" si="37"/>
        <v>604.94711538461536</v>
      </c>
      <c r="H49" s="98">
        <f t="shared" si="37"/>
        <v>236.83413461538461</v>
      </c>
      <c r="I49" s="98">
        <f t="shared" si="37"/>
        <v>899.4375</v>
      </c>
      <c r="J49" s="98">
        <f t="shared" si="37"/>
        <v>1256.90625</v>
      </c>
      <c r="K49" s="98">
        <f t="shared" si="37"/>
        <v>1267.5504807692307</v>
      </c>
      <c r="L49" s="98">
        <f t="shared" si="37"/>
        <v>1354.4783653846152</v>
      </c>
      <c r="M49" s="98">
        <f t="shared" si="37"/>
        <v>1606.3918269230769</v>
      </c>
      <c r="N49" s="98">
        <f t="shared" si="16"/>
        <v>12595.052163461536</v>
      </c>
      <c r="O49" s="98">
        <f t="shared" si="17"/>
        <v>1049.5876802884613</v>
      </c>
      <c r="P49" s="98"/>
      <c r="Q49" s="98"/>
      <c r="R49" s="98"/>
      <c r="S49" s="98"/>
      <c r="T49" s="98"/>
      <c r="U49" s="98"/>
      <c r="V49" s="98"/>
      <c r="W49" s="129"/>
      <c r="X49" s="129"/>
      <c r="Y49" s="72"/>
    </row>
    <row r="50" spans="1:25" x14ac:dyDescent="0.3">
      <c r="A50" s="152">
        <v>2012</v>
      </c>
      <c r="B50" s="77">
        <f t="shared" ref="B50:M50" si="38">+B24*$O$27</f>
        <v>945.5625</v>
      </c>
      <c r="C50" s="77">
        <f t="shared" si="38"/>
        <v>494.95673076923077</v>
      </c>
      <c r="D50" s="77">
        <f t="shared" si="38"/>
        <v>540.19471153846155</v>
      </c>
      <c r="E50" s="77">
        <f t="shared" si="38"/>
        <v>505.60096153846149</v>
      </c>
      <c r="F50" s="77">
        <f t="shared" si="38"/>
        <v>573.90144230769226</v>
      </c>
      <c r="G50" s="77">
        <f t="shared" si="38"/>
        <v>432.86538461538458</v>
      </c>
      <c r="H50" s="77">
        <f t="shared" si="38"/>
        <v>170.30769230769229</v>
      </c>
      <c r="I50" s="77">
        <f t="shared" si="38"/>
        <v>241.26923076923075</v>
      </c>
      <c r="J50" s="77">
        <f t="shared" si="38"/>
        <v>204.01442307692307</v>
      </c>
      <c r="K50" s="77">
        <f t="shared" si="38"/>
        <v>411.57692307692304</v>
      </c>
      <c r="L50" s="77">
        <f t="shared" si="38"/>
        <v>469.23317307692304</v>
      </c>
      <c r="M50" s="77">
        <f t="shared" si="38"/>
        <v>623.57451923076917</v>
      </c>
      <c r="N50" s="77">
        <f t="shared" si="16"/>
        <v>5613.0576923076924</v>
      </c>
      <c r="O50" s="77">
        <f t="shared" si="17"/>
        <v>467.75480769230768</v>
      </c>
      <c r="P50" s="98"/>
      <c r="Q50" s="98"/>
      <c r="R50" s="98"/>
      <c r="S50" s="98"/>
      <c r="T50" s="98"/>
      <c r="U50" s="98"/>
      <c r="V50" s="98"/>
      <c r="W50" s="129"/>
      <c r="X50" s="129"/>
      <c r="Y50" s="72"/>
    </row>
    <row r="51" spans="1:25" x14ac:dyDescent="0.3">
      <c r="A51" s="261" t="s">
        <v>1</v>
      </c>
      <c r="B51" s="262">
        <f>AVERAGE(B29:B50)</f>
        <v>965.37931599650335</v>
      </c>
      <c r="C51" s="262">
        <f t="shared" ref="C51:O51" si="39">AVERAGE(C29:C50)</f>
        <v>950.21935096153834</v>
      </c>
      <c r="D51" s="262">
        <f t="shared" si="39"/>
        <v>1389.164849213287</v>
      </c>
      <c r="E51" s="262">
        <f t="shared" si="39"/>
        <v>1297.8220279720279</v>
      </c>
      <c r="F51" s="262">
        <f t="shared" si="39"/>
        <v>781.56070804195804</v>
      </c>
      <c r="G51" s="262">
        <f t="shared" si="39"/>
        <v>608.38633085664333</v>
      </c>
      <c r="H51" s="262">
        <f t="shared" si="39"/>
        <v>307.37232298951045</v>
      </c>
      <c r="I51" s="262">
        <f t="shared" si="39"/>
        <v>268.61361451048958</v>
      </c>
      <c r="J51" s="262">
        <f t="shared" si="39"/>
        <v>293.34532342657343</v>
      </c>
      <c r="K51" s="262">
        <f t="shared" si="39"/>
        <v>527.82885708041965</v>
      </c>
      <c r="L51" s="262">
        <f t="shared" si="39"/>
        <v>646.82248688811171</v>
      </c>
      <c r="M51" s="262">
        <f t="shared" si="39"/>
        <v>963.84315996503494</v>
      </c>
      <c r="N51" s="262">
        <f t="shared" si="39"/>
        <v>9000.3583479020981</v>
      </c>
      <c r="O51" s="262">
        <f t="shared" si="39"/>
        <v>750.02986232517469</v>
      </c>
      <c r="P51" s="77"/>
      <c r="Q51" s="77"/>
      <c r="R51" s="77"/>
      <c r="S51" s="77"/>
      <c r="T51" s="77"/>
      <c r="U51" s="77"/>
      <c r="V51" s="77"/>
      <c r="W51" s="130"/>
      <c r="X51" s="130"/>
      <c r="Y51" s="146"/>
    </row>
    <row r="52" spans="1:25" x14ac:dyDescent="0.3">
      <c r="A52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</row>
    <row r="53" spans="1:25" x14ac:dyDescent="0.3">
      <c r="A53" s="116" t="s">
        <v>49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98"/>
      <c r="R53" s="98"/>
      <c r="S53" s="98"/>
      <c r="T53" s="98"/>
      <c r="U53" s="98"/>
      <c r="V53" s="98"/>
      <c r="W53" s="98"/>
      <c r="X53" s="98"/>
      <c r="Y53" s="98"/>
    </row>
    <row r="54" spans="1:25" x14ac:dyDescent="0.3">
      <c r="A54" s="3" t="s">
        <v>0</v>
      </c>
      <c r="B54" s="2" t="s">
        <v>15</v>
      </c>
      <c r="C54" s="2" t="s">
        <v>16</v>
      </c>
      <c r="D54" s="2" t="s">
        <v>17</v>
      </c>
      <c r="E54" s="2" t="s">
        <v>18</v>
      </c>
      <c r="F54" s="2" t="s">
        <v>7</v>
      </c>
      <c r="G54" s="2" t="s">
        <v>19</v>
      </c>
      <c r="H54" s="2" t="s">
        <v>20</v>
      </c>
      <c r="I54" s="2" t="s">
        <v>21</v>
      </c>
      <c r="J54" s="2" t="s">
        <v>22</v>
      </c>
      <c r="K54" s="2" t="s">
        <v>23</v>
      </c>
      <c r="L54" s="2" t="s">
        <v>24</v>
      </c>
      <c r="M54" s="2" t="s">
        <v>25</v>
      </c>
      <c r="N54" s="2" t="s">
        <v>2</v>
      </c>
      <c r="O54" s="2" t="s">
        <v>1</v>
      </c>
      <c r="P54" s="101"/>
      <c r="Q54" s="101"/>
      <c r="R54" s="101"/>
      <c r="S54" s="101"/>
      <c r="T54" s="101"/>
      <c r="U54" s="101"/>
      <c r="V54" s="101"/>
      <c r="X54" s="5"/>
    </row>
    <row r="55" spans="1:25" x14ac:dyDescent="0.3">
      <c r="A55" s="2">
        <v>1991</v>
      </c>
      <c r="B55" s="141">
        <v>511.7</v>
      </c>
      <c r="C55" s="141">
        <v>872.2</v>
      </c>
      <c r="D55" s="141">
        <v>651</v>
      </c>
      <c r="E55" s="141">
        <v>553.70000000000005</v>
      </c>
      <c r="F55" s="141">
        <v>504.7</v>
      </c>
      <c r="G55" s="141">
        <v>28</v>
      </c>
      <c r="H55" s="141">
        <v>7</v>
      </c>
      <c r="I55" s="141">
        <v>56</v>
      </c>
      <c r="J55" s="141">
        <v>225.4</v>
      </c>
      <c r="K55" s="141">
        <v>355.6</v>
      </c>
      <c r="L55" s="141">
        <v>358.4</v>
      </c>
      <c r="M55" s="141">
        <v>630</v>
      </c>
      <c r="N55" s="101">
        <f t="shared" ref="N55:N76" si="40">SUM(B55:M55)</f>
        <v>4753.7</v>
      </c>
      <c r="O55" s="101">
        <f>AVERAGE(B55:M55)</f>
        <v>396.14166666666665</v>
      </c>
      <c r="P55" s="98"/>
      <c r="Q55" s="98"/>
      <c r="R55" s="213"/>
      <c r="S55" s="142" t="s">
        <v>88</v>
      </c>
      <c r="T55" s="137"/>
      <c r="U55" s="98"/>
      <c r="V55" s="98"/>
      <c r="X55" s="5"/>
    </row>
    <row r="56" spans="1:25" x14ac:dyDescent="0.3">
      <c r="A56" s="2">
        <v>1992</v>
      </c>
      <c r="B56" s="141">
        <v>613.9</v>
      </c>
      <c r="C56" s="141">
        <v>461.3</v>
      </c>
      <c r="D56" s="141">
        <v>622.29999999999995</v>
      </c>
      <c r="E56" s="141">
        <v>648.20000000000005</v>
      </c>
      <c r="F56" s="141">
        <v>440.3</v>
      </c>
      <c r="G56" s="141">
        <v>427</v>
      </c>
      <c r="H56" s="141">
        <v>108.5</v>
      </c>
      <c r="I56" s="141">
        <v>56</v>
      </c>
      <c r="J56" s="141">
        <v>0.7</v>
      </c>
      <c r="K56" s="141">
        <v>26.6</v>
      </c>
      <c r="L56" s="141">
        <v>296.10000000000002</v>
      </c>
      <c r="M56" s="141">
        <v>523.4</v>
      </c>
      <c r="N56" s="101">
        <f t="shared" si="40"/>
        <v>4224.2999999999993</v>
      </c>
      <c r="O56" s="101">
        <f>AVERAGE(B56:M56)</f>
        <v>352.02499999999992</v>
      </c>
      <c r="P56" s="98"/>
      <c r="Q56" s="98"/>
      <c r="R56" s="141"/>
      <c r="S56" s="142" t="s">
        <v>127</v>
      </c>
      <c r="T56" s="131"/>
      <c r="U56" s="98"/>
      <c r="V56" s="98"/>
      <c r="X56" s="5"/>
    </row>
    <row r="57" spans="1:25" x14ac:dyDescent="0.3">
      <c r="A57" s="2">
        <v>1993</v>
      </c>
      <c r="B57" s="141">
        <v>640.5</v>
      </c>
      <c r="C57" s="141">
        <v>547.4</v>
      </c>
      <c r="D57" s="141">
        <v>603.4</v>
      </c>
      <c r="E57" s="141">
        <v>655.20000000000005</v>
      </c>
      <c r="F57" s="141">
        <v>420.7</v>
      </c>
      <c r="G57" s="141">
        <v>98.7</v>
      </c>
      <c r="H57" s="141">
        <v>0.7</v>
      </c>
      <c r="I57" s="141">
        <v>0</v>
      </c>
      <c r="J57" s="141">
        <v>42.7</v>
      </c>
      <c r="K57" s="141">
        <v>108.5</v>
      </c>
      <c r="L57" s="141">
        <v>252.7</v>
      </c>
      <c r="M57" s="141">
        <v>536.20000000000005</v>
      </c>
      <c r="N57" s="101">
        <f t="shared" si="40"/>
        <v>3906.6999999999989</v>
      </c>
      <c r="O57" s="101">
        <f>AVERAGE(B57:M57)</f>
        <v>325.55833333333322</v>
      </c>
      <c r="P57" s="98"/>
      <c r="Q57" s="98"/>
      <c r="R57" s="214"/>
      <c r="S57" s="142" t="s">
        <v>89</v>
      </c>
      <c r="T57" s="131"/>
      <c r="U57" s="98"/>
      <c r="V57" s="98"/>
      <c r="X57" s="5"/>
    </row>
    <row r="58" spans="1:25" x14ac:dyDescent="0.3">
      <c r="A58" s="2">
        <v>1994</v>
      </c>
      <c r="B58" s="141">
        <v>437.5</v>
      </c>
      <c r="C58" s="141">
        <v>424.2</v>
      </c>
      <c r="D58" s="141">
        <v>661.5</v>
      </c>
      <c r="E58" s="141">
        <v>645.4</v>
      </c>
      <c r="F58" s="141">
        <v>560</v>
      </c>
      <c r="G58" s="141">
        <v>133.69999999999999</v>
      </c>
      <c r="H58" s="141">
        <v>77.7</v>
      </c>
      <c r="I58" s="141">
        <v>4.2</v>
      </c>
      <c r="J58" s="141">
        <v>95.9</v>
      </c>
      <c r="K58" s="141">
        <v>107.1</v>
      </c>
      <c r="L58" s="141">
        <v>182.7</v>
      </c>
      <c r="M58" s="141">
        <v>314.3</v>
      </c>
      <c r="N58" s="98">
        <f t="shared" si="40"/>
        <v>3644.1999999999994</v>
      </c>
      <c r="O58" s="101">
        <f>AVERAGE(B57:M57)</f>
        <v>325.55833333333322</v>
      </c>
      <c r="P58" s="98"/>
      <c r="Q58" s="98"/>
      <c r="R58" s="97"/>
      <c r="S58" s="98"/>
      <c r="T58" s="98"/>
      <c r="U58" s="98"/>
      <c r="V58" s="98"/>
      <c r="X58" s="5"/>
    </row>
    <row r="59" spans="1:25" x14ac:dyDescent="0.3">
      <c r="A59" s="2">
        <v>1995</v>
      </c>
      <c r="B59" s="212">
        <v>879.73401045856804</v>
      </c>
      <c r="C59" s="212">
        <v>516.43645213628986</v>
      </c>
      <c r="D59" s="212">
        <v>660.42393967954752</v>
      </c>
      <c r="E59" s="212">
        <v>383.38440771349866</v>
      </c>
      <c r="F59" s="212">
        <v>363.27402409638563</v>
      </c>
      <c r="G59" s="212">
        <v>143.22403003754692</v>
      </c>
      <c r="H59" s="212">
        <v>63.896411092985325</v>
      </c>
      <c r="I59" s="212">
        <v>16.790730669188935</v>
      </c>
      <c r="J59" s="212">
        <v>0.29100508408290965</v>
      </c>
      <c r="K59" s="212">
        <v>49.736407229804506</v>
      </c>
      <c r="L59" s="212">
        <v>499.21974965229487</v>
      </c>
      <c r="M59" s="212">
        <v>181.67855937702791</v>
      </c>
      <c r="N59" s="98">
        <f t="shared" si="40"/>
        <v>3758.0897272272214</v>
      </c>
      <c r="O59" s="101">
        <f t="shared" ref="O59:O76" si="41">AVERAGE(B59:M59)</f>
        <v>313.17414393560176</v>
      </c>
      <c r="P59" s="98"/>
      <c r="Q59" s="98"/>
      <c r="R59" s="97"/>
      <c r="S59" s="98"/>
      <c r="T59" s="98"/>
      <c r="U59" s="98"/>
      <c r="V59" s="98"/>
      <c r="X59" s="5"/>
    </row>
    <row r="60" spans="1:25" x14ac:dyDescent="0.3">
      <c r="A60" s="2">
        <v>1996</v>
      </c>
      <c r="B60" s="212">
        <v>1053.2113837489944</v>
      </c>
      <c r="C60" s="212">
        <v>1074.6618442401298</v>
      </c>
      <c r="D60" s="212">
        <v>812.33317624882181</v>
      </c>
      <c r="E60" s="212">
        <v>1066.6431588613407</v>
      </c>
      <c r="F60" s="212">
        <v>863.62457831325321</v>
      </c>
      <c r="G60" s="212">
        <v>270.83117786121545</v>
      </c>
      <c r="H60" s="212">
        <v>248.06321370309954</v>
      </c>
      <c r="I60" s="212">
        <v>38.917947505320406</v>
      </c>
      <c r="J60" s="212">
        <v>1.5543996871333592</v>
      </c>
      <c r="K60" s="212">
        <v>132.85282183696054</v>
      </c>
      <c r="L60" s="212">
        <v>436.71432545201674</v>
      </c>
      <c r="M60" s="212">
        <v>805.30914990266069</v>
      </c>
      <c r="N60" s="98">
        <f t="shared" si="40"/>
        <v>6804.7171773609471</v>
      </c>
      <c r="O60" s="101">
        <f t="shared" si="41"/>
        <v>567.05976478007892</v>
      </c>
      <c r="P60" s="98"/>
      <c r="Q60" s="98"/>
      <c r="R60" s="97"/>
      <c r="S60" s="98"/>
      <c r="T60" s="98"/>
      <c r="U60" s="98"/>
      <c r="V60" s="98"/>
      <c r="X60" s="5"/>
    </row>
    <row r="61" spans="1:25" x14ac:dyDescent="0.3">
      <c r="A61" s="2">
        <v>1997</v>
      </c>
      <c r="B61" s="212">
        <v>814.29414722445688</v>
      </c>
      <c r="C61" s="212">
        <v>720.39142779881013</v>
      </c>
      <c r="D61" s="212">
        <v>620.54043355325155</v>
      </c>
      <c r="E61" s="212">
        <v>1256.5199265381084</v>
      </c>
      <c r="F61" s="212">
        <v>658.85855421686767</v>
      </c>
      <c r="G61" s="212">
        <v>175.34849116951747</v>
      </c>
      <c r="H61" s="212">
        <v>55.842985318107672</v>
      </c>
      <c r="I61" s="212">
        <v>16.486166942539608</v>
      </c>
      <c r="J61" s="212">
        <v>0.28361360969886584</v>
      </c>
      <c r="K61" s="212">
        <v>12.078421246772409</v>
      </c>
      <c r="L61" s="212">
        <v>197.39999999999998</v>
      </c>
      <c r="M61" s="212">
        <v>117.38289422452954</v>
      </c>
      <c r="N61" s="101">
        <f t="shared" si="40"/>
        <v>4645.4270618426599</v>
      </c>
      <c r="O61" s="101">
        <f t="shared" si="41"/>
        <v>387.11892182022166</v>
      </c>
      <c r="P61" s="98"/>
      <c r="Q61" s="98"/>
      <c r="R61" s="97"/>
      <c r="S61" s="98"/>
      <c r="T61" s="98"/>
      <c r="U61" s="98"/>
      <c r="V61" s="98"/>
      <c r="X61" s="5"/>
    </row>
    <row r="62" spans="1:25" x14ac:dyDescent="0.3">
      <c r="A62" s="2">
        <v>1998</v>
      </c>
      <c r="B62" s="141">
        <v>788.98250201126314</v>
      </c>
      <c r="C62" s="141">
        <v>1014.7851541373715</v>
      </c>
      <c r="D62" s="141">
        <v>1316.7422243166823</v>
      </c>
      <c r="E62" s="141">
        <v>708.91294765840223</v>
      </c>
      <c r="F62" s="141">
        <v>1006.501044176707</v>
      </c>
      <c r="G62" s="141">
        <v>1017.7694340147407</v>
      </c>
      <c r="H62" s="141">
        <v>380.41374388254491</v>
      </c>
      <c r="I62" s="141">
        <v>28.708441711988655</v>
      </c>
      <c r="J62" s="141">
        <v>0.42323034806413767</v>
      </c>
      <c r="K62" s="141">
        <v>45.72334931759498</v>
      </c>
      <c r="L62" s="141">
        <v>153.60959666203058</v>
      </c>
      <c r="M62" s="141">
        <v>101.92883841661259</v>
      </c>
      <c r="N62" s="98">
        <f t="shared" si="40"/>
        <v>6564.5005066540034</v>
      </c>
      <c r="O62" s="101">
        <f t="shared" si="41"/>
        <v>547.04170888783358</v>
      </c>
      <c r="P62" s="98"/>
      <c r="Q62" s="98"/>
      <c r="R62" s="97"/>
      <c r="S62" s="98"/>
      <c r="T62" s="98"/>
      <c r="U62" s="98"/>
      <c r="V62" s="98"/>
      <c r="X62" s="5"/>
    </row>
    <row r="63" spans="1:25" x14ac:dyDescent="0.3">
      <c r="A63" s="2">
        <v>1999</v>
      </c>
      <c r="B63" s="141">
        <v>863.06536604987934</v>
      </c>
      <c r="C63" s="141">
        <v>936.19699837750125</v>
      </c>
      <c r="D63" s="141">
        <v>953.09849198868983</v>
      </c>
      <c r="E63" s="141">
        <v>373.97985307621673</v>
      </c>
      <c r="F63" s="141">
        <v>337.66942971887556</v>
      </c>
      <c r="G63" s="141">
        <v>81.053400083437637</v>
      </c>
      <c r="H63" s="141">
        <v>53.276508972267543</v>
      </c>
      <c r="I63" s="141">
        <v>9.4679593284464421</v>
      </c>
      <c r="J63" s="141">
        <v>1.1859210011732497</v>
      </c>
      <c r="K63" s="141">
        <v>46.115824419033572</v>
      </c>
      <c r="L63" s="141">
        <v>211.08164116828928</v>
      </c>
      <c r="M63" s="141">
        <v>204.12939649578195</v>
      </c>
      <c r="N63" s="101">
        <f t="shared" si="40"/>
        <v>4070.3207906795924</v>
      </c>
      <c r="O63" s="101">
        <f t="shared" si="41"/>
        <v>339.19339922329937</v>
      </c>
      <c r="P63" s="98"/>
      <c r="Q63" s="98"/>
      <c r="R63" s="97"/>
      <c r="S63" s="98"/>
      <c r="T63" s="98"/>
      <c r="U63" s="98"/>
      <c r="V63" s="98"/>
      <c r="X63" s="5"/>
    </row>
    <row r="64" spans="1:25" x14ac:dyDescent="0.3">
      <c r="A64" s="2">
        <v>2000</v>
      </c>
      <c r="B64" s="141">
        <v>428.44589702333059</v>
      </c>
      <c r="C64" s="141">
        <v>581.48998107084901</v>
      </c>
      <c r="D64" s="141">
        <v>805.88143261074458</v>
      </c>
      <c r="E64" s="141">
        <v>1031.5248852157943</v>
      </c>
      <c r="F64" s="141">
        <v>727.11389558232941</v>
      </c>
      <c r="G64" s="141">
        <v>638.92643582255607</v>
      </c>
      <c r="H64" s="141">
        <v>138.50122349102773</v>
      </c>
      <c r="I64" s="141">
        <v>35.991487349255145</v>
      </c>
      <c r="J64" s="141">
        <v>0.5154868987094251</v>
      </c>
      <c r="K64" s="141">
        <v>23.558317963850978</v>
      </c>
      <c r="L64" s="141">
        <v>180.46954102920722</v>
      </c>
      <c r="M64" s="141">
        <v>235.81870214146656</v>
      </c>
      <c r="N64" s="101">
        <f t="shared" si="40"/>
        <v>4828.2372861991207</v>
      </c>
      <c r="O64" s="101">
        <f t="shared" si="41"/>
        <v>402.35310718326008</v>
      </c>
      <c r="P64" s="98"/>
      <c r="Q64" s="98"/>
      <c r="R64" s="97"/>
      <c r="S64" s="98"/>
      <c r="T64" s="98"/>
      <c r="U64" s="98"/>
      <c r="V64" s="98"/>
      <c r="X64" s="5"/>
    </row>
    <row r="65" spans="1:24" x14ac:dyDescent="0.3">
      <c r="A65" s="2">
        <v>2001</v>
      </c>
      <c r="B65" s="141">
        <v>256.94406677393403</v>
      </c>
      <c r="C65" s="141">
        <v>403.91817198485666</v>
      </c>
      <c r="D65" s="141">
        <v>1362.4909519321393</v>
      </c>
      <c r="E65" s="141">
        <v>1142.8319559228651</v>
      </c>
      <c r="F65" s="141">
        <v>313.26726104417679</v>
      </c>
      <c r="G65" s="141">
        <v>602.70476985120297</v>
      </c>
      <c r="H65" s="141">
        <v>178.76835236541601</v>
      </c>
      <c r="I65" s="141">
        <v>31.595176164577918</v>
      </c>
      <c r="J65" s="141">
        <v>0.40926867422761048</v>
      </c>
      <c r="K65" s="141">
        <v>14.649133161195131</v>
      </c>
      <c r="L65" s="141">
        <v>71.977329624478458</v>
      </c>
      <c r="M65" s="141">
        <v>75.470136275146004</v>
      </c>
      <c r="N65" s="101">
        <f t="shared" si="40"/>
        <v>4455.0265737742166</v>
      </c>
      <c r="O65" s="101">
        <f t="shared" si="41"/>
        <v>371.25221448118469</v>
      </c>
      <c r="P65" s="98"/>
      <c r="Q65" s="98"/>
      <c r="R65" s="97"/>
      <c r="S65" s="98"/>
      <c r="T65" s="98"/>
      <c r="U65" s="98"/>
      <c r="V65" s="98"/>
      <c r="X65" s="5"/>
    </row>
    <row r="66" spans="1:24" x14ac:dyDescent="0.3">
      <c r="A66" s="2">
        <v>2002</v>
      </c>
      <c r="B66" s="141">
        <v>166.74817980691876</v>
      </c>
      <c r="C66" s="141">
        <v>214.93236884802599</v>
      </c>
      <c r="D66" s="141">
        <v>364.99273327049946</v>
      </c>
      <c r="E66" s="141">
        <v>401.538769513315</v>
      </c>
      <c r="F66" s="141">
        <v>790.06441767068293</v>
      </c>
      <c r="G66" s="141">
        <v>415.12404394381872</v>
      </c>
      <c r="H66" s="141">
        <v>67.923123980424137</v>
      </c>
      <c r="I66" s="141">
        <v>13.493497280681014</v>
      </c>
      <c r="J66" s="141">
        <v>0.35944466171294487</v>
      </c>
      <c r="K66" s="141">
        <v>27.139653264478056</v>
      </c>
      <c r="L66" s="141">
        <v>286.90264255910984</v>
      </c>
      <c r="M66" s="141">
        <v>389.91771576898117</v>
      </c>
      <c r="N66" s="101">
        <f t="shared" si="40"/>
        <v>3139.136590568648</v>
      </c>
      <c r="O66" s="101">
        <f t="shared" si="41"/>
        <v>261.59471588072068</v>
      </c>
      <c r="P66" s="98"/>
      <c r="Q66" s="98"/>
      <c r="R66" s="97"/>
      <c r="S66" s="98"/>
      <c r="T66" s="98"/>
      <c r="U66" s="98"/>
      <c r="V66" s="98"/>
      <c r="X66" s="5"/>
    </row>
    <row r="67" spans="1:24" x14ac:dyDescent="0.3">
      <c r="A67" s="2">
        <v>2003</v>
      </c>
      <c r="B67" s="141">
        <v>550.62088696701528</v>
      </c>
      <c r="C67" s="141">
        <v>481.32126825310985</v>
      </c>
      <c r="D67" s="141">
        <v>1100.3155513666352</v>
      </c>
      <c r="E67" s="141">
        <v>1035.6914600550965</v>
      </c>
      <c r="F67" s="141">
        <v>653.41227309236956</v>
      </c>
      <c r="G67" s="141">
        <v>970.26560979001545</v>
      </c>
      <c r="H67" s="141">
        <v>186.02528548123979</v>
      </c>
      <c r="I67" s="141">
        <v>57.933317569165297</v>
      </c>
      <c r="J67" s="141">
        <v>0.85220962064919836</v>
      </c>
      <c r="K67" s="141">
        <v>53.857395794909628</v>
      </c>
      <c r="L67" s="141">
        <v>335.22308762169683</v>
      </c>
      <c r="M67" s="141">
        <v>493.51083711875401</v>
      </c>
      <c r="N67" s="101">
        <f t="shared" si="40"/>
        <v>5919.0291827306573</v>
      </c>
      <c r="O67" s="101">
        <f t="shared" si="41"/>
        <v>493.25243189422144</v>
      </c>
      <c r="P67" s="98"/>
      <c r="Q67" s="98"/>
      <c r="R67" s="97"/>
      <c r="S67" s="98"/>
      <c r="T67" s="98"/>
      <c r="U67" s="98"/>
      <c r="V67" s="98"/>
      <c r="X67" s="5"/>
    </row>
    <row r="68" spans="1:24" x14ac:dyDescent="0.3">
      <c r="A68" s="2">
        <v>2004</v>
      </c>
      <c r="B68" s="141">
        <v>503.82521118262275</v>
      </c>
      <c r="C68" s="141">
        <v>329.75839643050301</v>
      </c>
      <c r="D68" s="141">
        <v>424.52473138548538</v>
      </c>
      <c r="E68" s="141">
        <v>1407.1118457300277</v>
      </c>
      <c r="F68" s="141">
        <v>732.77236947791175</v>
      </c>
      <c r="G68" s="141">
        <v>223.68363231817548</v>
      </c>
      <c r="H68" s="141">
        <v>115.2701876019576</v>
      </c>
      <c r="I68" s="141">
        <v>35.395601797115162</v>
      </c>
      <c r="J68" s="141">
        <v>1.294876808760266</v>
      </c>
      <c r="K68" s="141">
        <v>56.751899668019178</v>
      </c>
      <c r="L68" s="141">
        <v>281.5489568845619</v>
      </c>
      <c r="M68" s="141">
        <v>487.0574951330305</v>
      </c>
      <c r="N68" s="101">
        <f t="shared" si="40"/>
        <v>4598.9952044181709</v>
      </c>
      <c r="O68" s="101">
        <f t="shared" si="41"/>
        <v>383.24960036818089</v>
      </c>
      <c r="P68" s="98"/>
      <c r="Q68" s="98"/>
      <c r="R68" s="97"/>
      <c r="S68" s="98"/>
      <c r="T68" s="98"/>
      <c r="U68" s="98"/>
      <c r="V68" s="98"/>
      <c r="X68" s="5"/>
    </row>
    <row r="69" spans="1:24" x14ac:dyDescent="0.3">
      <c r="A69" s="2">
        <v>2005</v>
      </c>
      <c r="B69" s="141">
        <v>1048.8898833467417</v>
      </c>
      <c r="C69" s="141">
        <v>853.86654948620878</v>
      </c>
      <c r="D69" s="141">
        <v>809.40056550424117</v>
      </c>
      <c r="E69" s="141">
        <v>1230.3300275482095</v>
      </c>
      <c r="F69" s="141">
        <v>873.52690763052226</v>
      </c>
      <c r="G69" s="141">
        <v>258.42080378250591</v>
      </c>
      <c r="H69" s="141">
        <v>172.57340946166397</v>
      </c>
      <c r="I69" s="141">
        <v>20.061480255379525</v>
      </c>
      <c r="J69" s="141">
        <v>0.42459913961673834</v>
      </c>
      <c r="K69" s="141">
        <v>260.11287347842125</v>
      </c>
      <c r="L69" s="141">
        <v>673.55771905424206</v>
      </c>
      <c r="M69" s="141">
        <v>470.75431537962362</v>
      </c>
      <c r="N69" s="101">
        <f t="shared" si="40"/>
        <v>6671.9191340673742</v>
      </c>
      <c r="O69" s="101">
        <f t="shared" si="41"/>
        <v>555.99326117228122</v>
      </c>
      <c r="P69" s="98"/>
      <c r="Q69" s="98"/>
      <c r="R69" s="97"/>
      <c r="S69" s="98"/>
      <c r="T69" s="98"/>
      <c r="U69" s="98"/>
      <c r="V69" s="98"/>
      <c r="X69" s="5"/>
    </row>
    <row r="70" spans="1:24" x14ac:dyDescent="0.3">
      <c r="A70" s="2">
        <v>2006</v>
      </c>
      <c r="B70" s="141">
        <v>1156.9273934030571</v>
      </c>
      <c r="C70" s="141">
        <v>1090.8784478096268</v>
      </c>
      <c r="D70" s="141">
        <v>334.43492931196982</v>
      </c>
      <c r="E70" s="141">
        <v>274.2796694214876</v>
      </c>
      <c r="F70" s="141">
        <v>1000.8425702811246</v>
      </c>
      <c r="G70" s="141">
        <v>1459.5549993046866</v>
      </c>
      <c r="H70" s="141">
        <v>224.25693311582381</v>
      </c>
      <c r="I70" s="141">
        <v>32.01891700165524</v>
      </c>
      <c r="J70" s="141">
        <v>0.65181853734845518</v>
      </c>
      <c r="K70" s="141">
        <v>48.195942456658067</v>
      </c>
      <c r="L70" s="141">
        <v>653.88178025034767</v>
      </c>
      <c r="M70" s="141">
        <v>309.96420506164827</v>
      </c>
      <c r="N70" s="101">
        <f t="shared" si="40"/>
        <v>6585.8876059554359</v>
      </c>
      <c r="O70" s="101">
        <f t="shared" si="41"/>
        <v>548.82396716295295</v>
      </c>
      <c r="P70" s="98"/>
      <c r="Q70" s="98"/>
      <c r="R70" s="97"/>
      <c r="S70" s="98"/>
      <c r="T70" s="98"/>
      <c r="U70" s="98"/>
      <c r="V70" s="98"/>
      <c r="X70" s="5"/>
    </row>
    <row r="71" spans="1:24" x14ac:dyDescent="0.3">
      <c r="A71" s="2">
        <v>2007</v>
      </c>
      <c r="B71" s="141">
        <v>609.76370675784392</v>
      </c>
      <c r="C71" s="141">
        <v>216.55402920497568</v>
      </c>
      <c r="D71" s="141">
        <v>960.13675777568324</v>
      </c>
      <c r="E71" s="141">
        <v>1622.583287419651</v>
      </c>
      <c r="F71" s="141">
        <v>848.0637751004017</v>
      </c>
      <c r="G71" s="141">
        <v>321.89778890279518</v>
      </c>
      <c r="H71" s="141">
        <v>82.348491027732464</v>
      </c>
      <c r="I71" s="141">
        <v>14.897138803499645</v>
      </c>
      <c r="J71" s="141">
        <v>0.28114978490418457</v>
      </c>
      <c r="K71" s="141">
        <v>19.250903725562523</v>
      </c>
      <c r="L71" s="141">
        <v>95.588456189151614</v>
      </c>
      <c r="M71" s="141">
        <v>106.71789746917585</v>
      </c>
      <c r="N71" s="101">
        <f t="shared" si="40"/>
        <v>4898.0833821613769</v>
      </c>
      <c r="O71" s="101">
        <f t="shared" si="41"/>
        <v>408.17361518011472</v>
      </c>
      <c r="P71" s="98"/>
      <c r="Q71" s="98"/>
      <c r="R71" s="97"/>
      <c r="S71" s="98"/>
      <c r="T71" s="98"/>
      <c r="U71" s="98"/>
      <c r="V71" s="98"/>
      <c r="X71" s="5"/>
    </row>
    <row r="72" spans="1:24" x14ac:dyDescent="0.3">
      <c r="A72" s="2">
        <v>2008</v>
      </c>
      <c r="B72" s="141">
        <v>519.62955551086077</v>
      </c>
      <c r="C72" s="141">
        <v>1596.7117360735531</v>
      </c>
      <c r="D72" s="141">
        <v>1304.4252591894438</v>
      </c>
      <c r="E72" s="141">
        <v>648.20000000000005</v>
      </c>
      <c r="F72" s="141">
        <v>537.83794377510048</v>
      </c>
      <c r="G72" s="141">
        <v>177.54554303991102</v>
      </c>
      <c r="H72" s="141">
        <v>164.12173735725938</v>
      </c>
      <c r="I72" s="141">
        <v>69.480255379522362</v>
      </c>
      <c r="J72" s="141">
        <v>2.127102072741494</v>
      </c>
      <c r="K72" s="141">
        <v>66.524529693839924</v>
      </c>
      <c r="L72" s="141">
        <v>369.67885952712101</v>
      </c>
      <c r="M72" s="141">
        <v>800.55405580791682</v>
      </c>
      <c r="N72" s="101">
        <f t="shared" si="40"/>
        <v>6256.8365774272697</v>
      </c>
      <c r="O72" s="101">
        <f t="shared" si="41"/>
        <v>521.40304811893918</v>
      </c>
      <c r="P72" s="98"/>
      <c r="Q72" s="98"/>
      <c r="R72" s="97"/>
      <c r="S72" s="98"/>
      <c r="T72" s="98"/>
      <c r="U72" s="98"/>
      <c r="V72" s="98"/>
      <c r="X72" s="5"/>
    </row>
    <row r="73" spans="1:24" x14ac:dyDescent="0.3">
      <c r="A73" s="2">
        <v>2009</v>
      </c>
      <c r="B73" s="141">
        <v>720.45585277554301</v>
      </c>
      <c r="C73" s="141">
        <v>653.65386695511086</v>
      </c>
      <c r="D73" s="141">
        <v>712.03788878416583</v>
      </c>
      <c r="E73" s="141">
        <v>728.55537190082646</v>
      </c>
      <c r="F73" s="141">
        <v>406.84427309236958</v>
      </c>
      <c r="G73" s="141">
        <v>295.77068557919625</v>
      </c>
      <c r="H73" s="141">
        <v>630.55668841761826</v>
      </c>
      <c r="I73" s="141">
        <v>79.160085126507454</v>
      </c>
      <c r="J73" s="141">
        <v>0.65811497849041845</v>
      </c>
      <c r="K73" s="141">
        <v>58.243305053485798</v>
      </c>
      <c r="L73" s="236">
        <v>405</v>
      </c>
      <c r="M73" s="215">
        <v>717</v>
      </c>
      <c r="N73" s="101">
        <f t="shared" si="40"/>
        <v>5407.9361326633143</v>
      </c>
      <c r="O73" s="101">
        <f t="shared" si="41"/>
        <v>450.66134438860951</v>
      </c>
      <c r="P73" s="98"/>
      <c r="Q73" s="98"/>
      <c r="R73" s="97"/>
      <c r="S73" s="98"/>
      <c r="T73" s="98"/>
      <c r="U73" s="98"/>
      <c r="V73" s="98"/>
      <c r="X73" s="5"/>
    </row>
    <row r="74" spans="1:24" x14ac:dyDescent="0.3">
      <c r="A74" s="2">
        <v>2010</v>
      </c>
      <c r="B74" s="215">
        <v>669</v>
      </c>
      <c r="C74" s="215">
        <v>554</v>
      </c>
      <c r="D74" s="215">
        <v>742</v>
      </c>
      <c r="E74" s="215">
        <v>731</v>
      </c>
      <c r="F74" s="215">
        <v>419</v>
      </c>
      <c r="G74" s="215">
        <v>272</v>
      </c>
      <c r="H74" s="215">
        <v>0</v>
      </c>
      <c r="I74" s="215">
        <v>2</v>
      </c>
      <c r="J74" s="215">
        <v>0</v>
      </c>
      <c r="K74" s="215">
        <v>248</v>
      </c>
      <c r="L74" s="215">
        <v>383</v>
      </c>
      <c r="M74" s="215">
        <v>472</v>
      </c>
      <c r="N74" s="101">
        <f t="shared" si="40"/>
        <v>4492</v>
      </c>
      <c r="O74" s="101">
        <f t="shared" si="41"/>
        <v>374.33333333333331</v>
      </c>
      <c r="P74" s="98"/>
      <c r="Q74" s="98"/>
      <c r="R74" s="97"/>
      <c r="S74" s="98"/>
      <c r="T74" s="98"/>
      <c r="U74" s="98"/>
      <c r="V74" s="98"/>
      <c r="X74" s="5"/>
    </row>
    <row r="75" spans="1:24" x14ac:dyDescent="0.3">
      <c r="A75" s="2">
        <v>2011</v>
      </c>
      <c r="B75" s="215">
        <v>397</v>
      </c>
      <c r="C75" s="215">
        <v>492</v>
      </c>
      <c r="D75" s="215">
        <v>760</v>
      </c>
      <c r="E75" s="215">
        <v>742</v>
      </c>
      <c r="F75" s="215">
        <v>616</v>
      </c>
      <c r="G75" s="215">
        <v>486</v>
      </c>
      <c r="H75" s="215">
        <v>104</v>
      </c>
      <c r="I75" s="215">
        <v>311</v>
      </c>
      <c r="J75" s="215">
        <v>673</v>
      </c>
      <c r="K75" s="215">
        <v>723</v>
      </c>
      <c r="L75" s="215">
        <v>724</v>
      </c>
      <c r="M75" s="215">
        <v>797</v>
      </c>
      <c r="N75" s="101">
        <f t="shared" si="40"/>
        <v>6825</v>
      </c>
      <c r="O75" s="101">
        <f t="shared" si="41"/>
        <v>568.75</v>
      </c>
      <c r="P75" s="98"/>
      <c r="Q75" s="98"/>
      <c r="R75" s="97"/>
      <c r="S75" s="98"/>
      <c r="T75" s="98"/>
      <c r="U75" s="98"/>
      <c r="V75" s="98"/>
      <c r="X75" s="5"/>
    </row>
    <row r="76" spans="1:24" x14ac:dyDescent="0.3">
      <c r="A76" s="2">
        <v>2012</v>
      </c>
      <c r="B76" s="215">
        <v>696</v>
      </c>
      <c r="C76" s="215">
        <v>514</v>
      </c>
      <c r="D76" s="215">
        <v>466</v>
      </c>
      <c r="E76" s="215">
        <v>258</v>
      </c>
      <c r="F76" s="215">
        <v>467</v>
      </c>
      <c r="G76" s="215">
        <v>302</v>
      </c>
      <c r="H76" s="215">
        <v>0</v>
      </c>
      <c r="I76" s="215">
        <v>56</v>
      </c>
      <c r="J76" s="215">
        <v>48</v>
      </c>
      <c r="K76" s="215">
        <v>190</v>
      </c>
      <c r="L76" s="215">
        <v>360</v>
      </c>
      <c r="M76" s="215">
        <v>435</v>
      </c>
      <c r="N76" s="101">
        <f t="shared" si="40"/>
        <v>3792</v>
      </c>
      <c r="O76" s="101">
        <f t="shared" si="41"/>
        <v>316</v>
      </c>
      <c r="P76" s="131"/>
      <c r="Q76" s="139"/>
      <c r="R76" s="135"/>
      <c r="S76" s="101"/>
      <c r="T76" s="101"/>
      <c r="U76" s="101"/>
      <c r="V76" s="101"/>
      <c r="X76" s="5"/>
    </row>
    <row r="77" spans="1:24" x14ac:dyDescent="0.3">
      <c r="A77" s="96"/>
      <c r="B77" s="95"/>
      <c r="C77" s="136"/>
      <c r="D77" s="138"/>
      <c r="J77" s="131"/>
      <c r="K77" s="131"/>
      <c r="L77" s="131"/>
      <c r="M77" s="131"/>
      <c r="N77" s="131"/>
      <c r="O77" s="131"/>
      <c r="P77" s="131"/>
      <c r="Q77" s="139"/>
      <c r="R77" s="135"/>
      <c r="S77" s="101"/>
      <c r="T77" s="101"/>
      <c r="U77" s="101"/>
      <c r="V77" s="101"/>
      <c r="X77" s="5"/>
    </row>
    <row r="78" spans="1:24" x14ac:dyDescent="0.3">
      <c r="A78" s="96"/>
      <c r="H78" s="137"/>
      <c r="I78" s="137"/>
      <c r="J78" s="131"/>
      <c r="K78" s="131"/>
      <c r="L78" s="131"/>
      <c r="M78" s="131"/>
      <c r="N78" s="131"/>
      <c r="O78" s="131"/>
      <c r="P78" s="131"/>
      <c r="Q78" s="139"/>
      <c r="R78" s="135"/>
      <c r="S78" s="101"/>
      <c r="T78" s="101"/>
      <c r="U78" s="101"/>
      <c r="V78" s="101"/>
      <c r="X78" s="5"/>
    </row>
    <row r="79" spans="1:24" x14ac:dyDescent="0.3">
      <c r="A79" s="96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6"/>
      <c r="U79" s="101"/>
      <c r="V79" s="101"/>
      <c r="X79" s="5"/>
    </row>
    <row r="80" spans="1:24" x14ac:dyDescent="0.3">
      <c r="A80" s="96"/>
      <c r="H80" s="131"/>
      <c r="I80" s="131"/>
      <c r="J80" s="131"/>
      <c r="K80" s="131"/>
      <c r="L80" s="131"/>
      <c r="M80" s="131"/>
      <c r="N80" s="144"/>
      <c r="O80" s="131"/>
      <c r="P80" s="131"/>
      <c r="Q80" s="131"/>
      <c r="R80" s="131"/>
      <c r="S80" s="131"/>
      <c r="T80" s="136"/>
      <c r="U80" s="101"/>
      <c r="V80" s="101"/>
      <c r="X80" s="5"/>
    </row>
    <row r="81" spans="1:34" x14ac:dyDescent="0.3">
      <c r="A81" s="96"/>
      <c r="B81" s="102"/>
      <c r="C81" s="140"/>
      <c r="D81" s="138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9"/>
      <c r="R81" s="140"/>
      <c r="S81" s="140"/>
      <c r="T81" s="140"/>
      <c r="U81" s="102"/>
      <c r="V81" s="102"/>
      <c r="X81" s="6"/>
    </row>
    <row r="82" spans="1:34" x14ac:dyDescent="0.3">
      <c r="A82" s="96"/>
      <c r="B82" s="95"/>
      <c r="C82" s="135"/>
      <c r="D82" s="138"/>
      <c r="G82" s="131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35"/>
      <c r="U82" s="97"/>
      <c r="V82" s="97"/>
    </row>
    <row r="83" spans="1:34" x14ac:dyDescent="0.3">
      <c r="A83" s="96"/>
      <c r="B83" s="95"/>
      <c r="C83" s="135"/>
      <c r="D83" s="138"/>
      <c r="E83" s="131"/>
      <c r="F83" s="131"/>
      <c r="G83" s="131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37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26"/>
      <c r="AG83" s="126"/>
      <c r="AH83" s="126"/>
    </row>
    <row r="84" spans="1:34" x14ac:dyDescent="0.3">
      <c r="N84" s="131"/>
      <c r="O84" s="131"/>
      <c r="P84" s="131"/>
      <c r="Q84" s="139"/>
      <c r="R84" s="139"/>
      <c r="S84" s="138"/>
      <c r="T84" s="131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26"/>
      <c r="AG84" s="126"/>
      <c r="AH84" s="126"/>
    </row>
    <row r="85" spans="1:34" x14ac:dyDescent="0.3">
      <c r="C85" s="139"/>
      <c r="D85" s="138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9"/>
      <c r="R85" s="139"/>
      <c r="S85" s="133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26"/>
      <c r="AG85" s="126"/>
      <c r="AH85" s="126"/>
    </row>
    <row r="86" spans="1:34" x14ac:dyDescent="0.3"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3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26"/>
      <c r="AG86" s="126"/>
      <c r="AH86" s="126"/>
    </row>
    <row r="87" spans="1:34" x14ac:dyDescent="0.3"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3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26"/>
      <c r="AG87" s="126"/>
      <c r="AH87" s="126"/>
    </row>
    <row r="88" spans="1:34" x14ac:dyDescent="0.3"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3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26"/>
      <c r="AG88" s="126"/>
      <c r="AH88" s="126"/>
    </row>
    <row r="89" spans="1:34" x14ac:dyDescent="0.3">
      <c r="S89" s="133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26"/>
      <c r="AG89" s="126"/>
      <c r="AH89" s="126"/>
    </row>
    <row r="90" spans="1:34" x14ac:dyDescent="0.3">
      <c r="S90" s="133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26"/>
      <c r="AG90" s="126"/>
      <c r="AH90" s="126"/>
    </row>
    <row r="91" spans="1:34" x14ac:dyDescent="0.3">
      <c r="S91" s="133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26"/>
      <c r="AG91" s="126"/>
      <c r="AH91" s="126"/>
    </row>
    <row r="92" spans="1:34" x14ac:dyDescent="0.3">
      <c r="S92" s="133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26"/>
      <c r="AG92" s="126"/>
      <c r="AH92" s="126"/>
    </row>
    <row r="93" spans="1:34" x14ac:dyDescent="0.3">
      <c r="S93" s="133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26"/>
      <c r="AG93" s="126"/>
      <c r="AH93" s="126"/>
    </row>
    <row r="162" spans="1:1" x14ac:dyDescent="0.3">
      <c r="A162" s="4"/>
    </row>
  </sheetData>
  <pageMargins left="0.7" right="0.7" top="0.75" bottom="0.75" header="0.3" footer="0.3"/>
  <pageSetup scale="74" orientation="landscape" r:id="rId1"/>
  <headerFooter>
    <oddHeader>&amp;C&amp;"-,Bold"&amp;18FACILITY NAME</oddHead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zoomScaleNormal="100" workbookViewId="0"/>
  </sheetViews>
  <sheetFormatPr defaultRowHeight="13.2" x14ac:dyDescent="0.25"/>
  <cols>
    <col min="1" max="1" width="29.6640625" style="8" customWidth="1"/>
    <col min="2" max="6" width="7.5546875" style="8" customWidth="1"/>
    <col min="7" max="12" width="6.5546875" style="8" customWidth="1"/>
    <col min="13" max="13" width="7.5546875" style="8" customWidth="1"/>
    <col min="14" max="14" width="6.5546875" style="8" customWidth="1"/>
    <col min="15" max="256" width="9.109375" style="8"/>
    <col min="257" max="257" width="35.88671875" style="8" customWidth="1"/>
    <col min="258" max="512" width="9.109375" style="8"/>
    <col min="513" max="513" width="35.88671875" style="8" customWidth="1"/>
    <col min="514" max="768" width="9.109375" style="8"/>
    <col min="769" max="769" width="35.88671875" style="8" customWidth="1"/>
    <col min="770" max="1024" width="9.109375" style="8"/>
    <col min="1025" max="1025" width="35.88671875" style="8" customWidth="1"/>
    <col min="1026" max="1280" width="9.109375" style="8"/>
    <col min="1281" max="1281" width="35.88671875" style="8" customWidth="1"/>
    <col min="1282" max="1536" width="9.109375" style="8"/>
    <col min="1537" max="1537" width="35.88671875" style="8" customWidth="1"/>
    <col min="1538" max="1792" width="9.109375" style="8"/>
    <col min="1793" max="1793" width="35.88671875" style="8" customWidth="1"/>
    <col min="1794" max="2048" width="9.109375" style="8"/>
    <col min="2049" max="2049" width="35.88671875" style="8" customWidth="1"/>
    <col min="2050" max="2304" width="9.109375" style="8"/>
    <col min="2305" max="2305" width="35.88671875" style="8" customWidth="1"/>
    <col min="2306" max="2560" width="9.109375" style="8"/>
    <col min="2561" max="2561" width="35.88671875" style="8" customWidth="1"/>
    <col min="2562" max="2816" width="9.109375" style="8"/>
    <col min="2817" max="2817" width="35.88671875" style="8" customWidth="1"/>
    <col min="2818" max="3072" width="9.109375" style="8"/>
    <col min="3073" max="3073" width="35.88671875" style="8" customWidth="1"/>
    <col min="3074" max="3328" width="9.109375" style="8"/>
    <col min="3329" max="3329" width="35.88671875" style="8" customWidth="1"/>
    <col min="3330" max="3584" width="9.109375" style="8"/>
    <col min="3585" max="3585" width="35.88671875" style="8" customWidth="1"/>
    <col min="3586" max="3840" width="9.109375" style="8"/>
    <col min="3841" max="3841" width="35.88671875" style="8" customWidth="1"/>
    <col min="3842" max="4096" width="9.109375" style="8"/>
    <col min="4097" max="4097" width="35.88671875" style="8" customWidth="1"/>
    <col min="4098" max="4352" width="9.109375" style="8"/>
    <col min="4353" max="4353" width="35.88671875" style="8" customWidth="1"/>
    <col min="4354" max="4608" width="9.109375" style="8"/>
    <col min="4609" max="4609" width="35.88671875" style="8" customWidth="1"/>
    <col min="4610" max="4864" width="9.109375" style="8"/>
    <col min="4865" max="4865" width="35.88671875" style="8" customWidth="1"/>
    <col min="4866" max="5120" width="9.109375" style="8"/>
    <col min="5121" max="5121" width="35.88671875" style="8" customWidth="1"/>
    <col min="5122" max="5376" width="9.109375" style="8"/>
    <col min="5377" max="5377" width="35.88671875" style="8" customWidth="1"/>
    <col min="5378" max="5632" width="9.109375" style="8"/>
    <col min="5633" max="5633" width="35.88671875" style="8" customWidth="1"/>
    <col min="5634" max="5888" width="9.109375" style="8"/>
    <col min="5889" max="5889" width="35.88671875" style="8" customWidth="1"/>
    <col min="5890" max="6144" width="9.109375" style="8"/>
    <col min="6145" max="6145" width="35.88671875" style="8" customWidth="1"/>
    <col min="6146" max="6400" width="9.109375" style="8"/>
    <col min="6401" max="6401" width="35.88671875" style="8" customWidth="1"/>
    <col min="6402" max="6656" width="9.109375" style="8"/>
    <col min="6657" max="6657" width="35.88671875" style="8" customWidth="1"/>
    <col min="6658" max="6912" width="9.109375" style="8"/>
    <col min="6913" max="6913" width="35.88671875" style="8" customWidth="1"/>
    <col min="6914" max="7168" width="9.109375" style="8"/>
    <col min="7169" max="7169" width="35.88671875" style="8" customWidth="1"/>
    <col min="7170" max="7424" width="9.109375" style="8"/>
    <col min="7425" max="7425" width="35.88671875" style="8" customWidth="1"/>
    <col min="7426" max="7680" width="9.109375" style="8"/>
    <col min="7681" max="7681" width="35.88671875" style="8" customWidth="1"/>
    <col min="7682" max="7936" width="9.109375" style="8"/>
    <col min="7937" max="7937" width="35.88671875" style="8" customWidth="1"/>
    <col min="7938" max="8192" width="9.109375" style="8"/>
    <col min="8193" max="8193" width="35.88671875" style="8" customWidth="1"/>
    <col min="8194" max="8448" width="9.109375" style="8"/>
    <col min="8449" max="8449" width="35.88671875" style="8" customWidth="1"/>
    <col min="8450" max="8704" width="9.109375" style="8"/>
    <col min="8705" max="8705" width="35.88671875" style="8" customWidth="1"/>
    <col min="8706" max="8960" width="9.109375" style="8"/>
    <col min="8961" max="8961" width="35.88671875" style="8" customWidth="1"/>
    <col min="8962" max="9216" width="9.109375" style="8"/>
    <col min="9217" max="9217" width="35.88671875" style="8" customWidth="1"/>
    <col min="9218" max="9472" width="9.109375" style="8"/>
    <col min="9473" max="9473" width="35.88671875" style="8" customWidth="1"/>
    <col min="9474" max="9728" width="9.109375" style="8"/>
    <col min="9729" max="9729" width="35.88671875" style="8" customWidth="1"/>
    <col min="9730" max="9984" width="9.109375" style="8"/>
    <col min="9985" max="9985" width="35.88671875" style="8" customWidth="1"/>
    <col min="9986" max="10240" width="9.109375" style="8"/>
    <col min="10241" max="10241" width="35.88671875" style="8" customWidth="1"/>
    <col min="10242" max="10496" width="9.109375" style="8"/>
    <col min="10497" max="10497" width="35.88671875" style="8" customWidth="1"/>
    <col min="10498" max="10752" width="9.109375" style="8"/>
    <col min="10753" max="10753" width="35.88671875" style="8" customWidth="1"/>
    <col min="10754" max="11008" width="9.109375" style="8"/>
    <col min="11009" max="11009" width="35.88671875" style="8" customWidth="1"/>
    <col min="11010" max="11264" width="9.109375" style="8"/>
    <col min="11265" max="11265" width="35.88671875" style="8" customWidth="1"/>
    <col min="11266" max="11520" width="9.109375" style="8"/>
    <col min="11521" max="11521" width="35.88671875" style="8" customWidth="1"/>
    <col min="11522" max="11776" width="9.109375" style="8"/>
    <col min="11777" max="11777" width="35.88671875" style="8" customWidth="1"/>
    <col min="11778" max="12032" width="9.109375" style="8"/>
    <col min="12033" max="12033" width="35.88671875" style="8" customWidth="1"/>
    <col min="12034" max="12288" width="9.109375" style="8"/>
    <col min="12289" max="12289" width="35.88671875" style="8" customWidth="1"/>
    <col min="12290" max="12544" width="9.109375" style="8"/>
    <col min="12545" max="12545" width="35.88671875" style="8" customWidth="1"/>
    <col min="12546" max="12800" width="9.109375" style="8"/>
    <col min="12801" max="12801" width="35.88671875" style="8" customWidth="1"/>
    <col min="12802" max="13056" width="9.109375" style="8"/>
    <col min="13057" max="13057" width="35.88671875" style="8" customWidth="1"/>
    <col min="13058" max="13312" width="9.109375" style="8"/>
    <col min="13313" max="13313" width="35.88671875" style="8" customWidth="1"/>
    <col min="13314" max="13568" width="9.109375" style="8"/>
    <col min="13569" max="13569" width="35.88671875" style="8" customWidth="1"/>
    <col min="13570" max="13824" width="9.109375" style="8"/>
    <col min="13825" max="13825" width="35.88671875" style="8" customWidth="1"/>
    <col min="13826" max="14080" width="9.109375" style="8"/>
    <col min="14081" max="14081" width="35.88671875" style="8" customWidth="1"/>
    <col min="14082" max="14336" width="9.109375" style="8"/>
    <col min="14337" max="14337" width="35.88671875" style="8" customWidth="1"/>
    <col min="14338" max="14592" width="9.109375" style="8"/>
    <col min="14593" max="14593" width="35.88671875" style="8" customWidth="1"/>
    <col min="14594" max="14848" width="9.109375" style="8"/>
    <col min="14849" max="14849" width="35.88671875" style="8" customWidth="1"/>
    <col min="14850" max="15104" width="9.109375" style="8"/>
    <col min="15105" max="15105" width="35.88671875" style="8" customWidth="1"/>
    <col min="15106" max="15360" width="9.109375" style="8"/>
    <col min="15361" max="15361" width="35.88671875" style="8" customWidth="1"/>
    <col min="15362" max="15616" width="9.109375" style="8"/>
    <col min="15617" max="15617" width="35.88671875" style="8" customWidth="1"/>
    <col min="15618" max="15872" width="9.109375" style="8"/>
    <col min="15873" max="15873" width="35.88671875" style="8" customWidth="1"/>
    <col min="15874" max="16128" width="9.109375" style="8"/>
    <col min="16129" max="16129" width="35.88671875" style="8" customWidth="1"/>
    <col min="16130" max="16384" width="9.109375" style="8"/>
  </cols>
  <sheetData>
    <row r="2" spans="1:14" ht="12.75" x14ac:dyDescent="0.2">
      <c r="A2" s="156" t="s">
        <v>59</v>
      </c>
      <c r="B2" s="157" t="s">
        <v>60</v>
      </c>
      <c r="C2" s="158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2.75" x14ac:dyDescent="0.2">
      <c r="B4" s="11" t="s">
        <v>15</v>
      </c>
      <c r="C4" s="11" t="s">
        <v>16</v>
      </c>
      <c r="D4" s="11" t="s">
        <v>17</v>
      </c>
      <c r="E4" s="11" t="s">
        <v>18</v>
      </c>
      <c r="F4" s="11" t="s">
        <v>7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</row>
    <row r="5" spans="1:14" ht="12.75" x14ac:dyDescent="0.2">
      <c r="A5" s="12"/>
    </row>
    <row r="6" spans="1:14" ht="12.75" x14ac:dyDescent="0.2">
      <c r="A6" s="13" t="s">
        <v>47</v>
      </c>
      <c r="B6" s="14">
        <f>+'Monthly Historical Flow-Gen'!B51</f>
        <v>965.37931599650335</v>
      </c>
      <c r="C6" s="14">
        <f>+'Monthly Historical Flow-Gen'!C51</f>
        <v>950.21935096153834</v>
      </c>
      <c r="D6" s="14">
        <f>+'Monthly Historical Flow-Gen'!D51</f>
        <v>1389.164849213287</v>
      </c>
      <c r="E6" s="14">
        <f>+'Monthly Historical Flow-Gen'!E51</f>
        <v>1297.8220279720279</v>
      </c>
      <c r="F6" s="14">
        <f>+'Monthly Historical Flow-Gen'!F51</f>
        <v>781.56070804195804</v>
      </c>
      <c r="G6" s="14">
        <f>+'Monthly Historical Flow-Gen'!G51</f>
        <v>608.38633085664333</v>
      </c>
      <c r="H6" s="14">
        <f>+'Monthly Historical Flow-Gen'!H51</f>
        <v>307.37232298951045</v>
      </c>
      <c r="I6" s="14">
        <f>+'Monthly Historical Flow-Gen'!I51</f>
        <v>268.61361451048958</v>
      </c>
      <c r="J6" s="14">
        <f>+'Monthly Historical Flow-Gen'!J51</f>
        <v>293.34532342657343</v>
      </c>
      <c r="K6" s="14">
        <f>+'Monthly Historical Flow-Gen'!K51</f>
        <v>527.82885708041965</v>
      </c>
      <c r="L6" s="14">
        <f>+'Monthly Historical Flow-Gen'!L51</f>
        <v>646.82248688811171</v>
      </c>
      <c r="M6" s="14">
        <f>+'Monthly Historical Flow-Gen'!M51</f>
        <v>963.84315996503494</v>
      </c>
      <c r="N6" s="14">
        <f>AVERAGE(B6:M6)</f>
        <v>750.0298623251748</v>
      </c>
    </row>
    <row r="8" spans="1:14" ht="12.75" x14ac:dyDescent="0.2">
      <c r="A8" s="13"/>
    </row>
    <row r="9" spans="1:14" ht="15" x14ac:dyDescent="0.25">
      <c r="B9"/>
      <c r="C9"/>
      <c r="D9"/>
      <c r="E9"/>
      <c r="F9"/>
      <c r="G9"/>
      <c r="H9"/>
      <c r="I9"/>
      <c r="J9"/>
      <c r="K9"/>
      <c r="L9"/>
      <c r="M9"/>
    </row>
    <row r="10" spans="1:14" ht="15" x14ac:dyDescent="0.25">
      <c r="A10" s="24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4" ht="15" x14ac:dyDescent="0.25">
      <c r="A11" s="24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4" ht="14.25" x14ac:dyDescent="0.2">
      <c r="A12" s="24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4" ht="12.7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4" ht="12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4" ht="12.7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4" ht="12.7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</sheetData>
  <pageMargins left="0.7" right="0.7" top="0.75" bottom="0.75" header="0.3" footer="0.3"/>
  <pageSetup orientation="landscape" r:id="rId1"/>
  <headerFooter>
    <oddHeader>&amp;C&amp;"-,Bold"&amp;18FACILITY NAME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/>
  </sheetViews>
  <sheetFormatPr defaultColWidth="9.109375" defaultRowHeight="13.2" x14ac:dyDescent="0.25"/>
  <cols>
    <col min="1" max="1" width="27.6640625" style="8" customWidth="1"/>
    <col min="2" max="8" width="9.109375" style="8"/>
    <col min="9" max="9" width="10.5546875" style="8" customWidth="1"/>
    <col min="10" max="16384" width="9.109375" style="8"/>
  </cols>
  <sheetData>
    <row r="1" spans="1:14" ht="12.75" x14ac:dyDescent="0.2">
      <c r="B1" s="87" t="s">
        <v>30</v>
      </c>
      <c r="C1" s="17"/>
      <c r="D1" s="17"/>
      <c r="E1" s="17"/>
      <c r="F1" s="17"/>
      <c r="J1" s="87" t="s">
        <v>58</v>
      </c>
      <c r="K1" s="17"/>
      <c r="L1" s="17" t="str">
        <f>+'Monthly Historical Flow-Gen'!R1</f>
        <v>XXXXXX Hydro Project</v>
      </c>
      <c r="M1" s="17"/>
    </row>
    <row r="2" spans="1:14" ht="12.75" x14ac:dyDescent="0.2">
      <c r="B2" s="17"/>
      <c r="C2" s="17"/>
      <c r="D2" s="17"/>
      <c r="E2" s="17"/>
      <c r="F2" s="17"/>
    </row>
    <row r="3" spans="1:14" ht="12.75" x14ac:dyDescent="0.2">
      <c r="A3" s="13" t="s">
        <v>87</v>
      </c>
      <c r="B3" s="88" t="s">
        <v>29</v>
      </c>
      <c r="C3" s="17"/>
      <c r="D3" s="121">
        <v>20</v>
      </c>
      <c r="E3" s="17"/>
      <c r="F3" s="17"/>
    </row>
    <row r="4" spans="1:14" ht="12.75" x14ac:dyDescent="0.2">
      <c r="B4" s="88" t="s">
        <v>28</v>
      </c>
      <c r="C4" s="17"/>
      <c r="D4" s="122">
        <v>0.7</v>
      </c>
      <c r="E4" s="17"/>
      <c r="F4" s="17"/>
    </row>
    <row r="5" spans="1:14" ht="12.75" x14ac:dyDescent="0.2">
      <c r="B5" s="88" t="s">
        <v>27</v>
      </c>
      <c r="C5" s="17"/>
      <c r="D5" s="121">
        <v>1100</v>
      </c>
      <c r="E5" s="89"/>
      <c r="F5" s="17"/>
    </row>
    <row r="6" spans="1:14" ht="12.75" x14ac:dyDescent="0.2">
      <c r="B6" s="87" t="s">
        <v>55</v>
      </c>
      <c r="C6" s="17"/>
      <c r="D6" s="17"/>
      <c r="E6" s="123">
        <f>D5/(D3*D4/11.8)</f>
        <v>927.14285714285722</v>
      </c>
      <c r="F6" s="17" t="s">
        <v>56</v>
      </c>
      <c r="G6" s="13" t="s">
        <v>48</v>
      </c>
    </row>
    <row r="7" spans="1:14" ht="12.75" x14ac:dyDescent="0.2">
      <c r="B7" s="87"/>
      <c r="C7" s="17"/>
      <c r="D7" s="17"/>
      <c r="E7" s="17"/>
      <c r="F7" s="17"/>
    </row>
    <row r="8" spans="1:14" ht="12.75" x14ac:dyDescent="0.2">
      <c r="A8" s="13" t="s">
        <v>89</v>
      </c>
      <c r="B8" s="88" t="s">
        <v>29</v>
      </c>
      <c r="C8" s="17"/>
      <c r="D8" s="121">
        <v>20</v>
      </c>
      <c r="E8" s="17"/>
      <c r="F8" s="88"/>
    </row>
    <row r="9" spans="1:14" ht="12.75" x14ac:dyDescent="0.2">
      <c r="B9" s="88" t="s">
        <v>28</v>
      </c>
      <c r="C9" s="17"/>
      <c r="D9" s="122">
        <v>0.7</v>
      </c>
      <c r="E9" s="17"/>
      <c r="F9" s="17"/>
    </row>
    <row r="10" spans="1:14" ht="12.75" x14ac:dyDescent="0.2">
      <c r="B10" s="88" t="s">
        <v>27</v>
      </c>
      <c r="C10" s="17"/>
      <c r="D10" s="121">
        <v>1100</v>
      </c>
      <c r="E10" s="17"/>
      <c r="F10" s="17"/>
    </row>
    <row r="11" spans="1:14" ht="12.75" x14ac:dyDescent="0.2">
      <c r="B11" s="87" t="s">
        <v>55</v>
      </c>
      <c r="C11" s="17"/>
      <c r="D11" s="17"/>
      <c r="E11" s="123">
        <f>D10/(D8*D9/11.8)</f>
        <v>927.14285714285722</v>
      </c>
      <c r="F11" s="17" t="s">
        <v>56</v>
      </c>
      <c r="G11" s="147" t="s">
        <v>70</v>
      </c>
      <c r="J11" s="148"/>
    </row>
    <row r="12" spans="1:14" ht="12.75" x14ac:dyDescent="0.2">
      <c r="B12" s="17"/>
      <c r="C12" s="17"/>
      <c r="D12" s="17"/>
      <c r="E12" s="17"/>
      <c r="F12" s="17"/>
    </row>
    <row r="13" spans="1:14" ht="13.5" thickBot="1" x14ac:dyDescent="0.25"/>
    <row r="14" spans="1:14" ht="13.5" thickBot="1" x14ac:dyDescent="0.25">
      <c r="B14" s="227" t="s">
        <v>15</v>
      </c>
      <c r="C14" s="230" t="s">
        <v>16</v>
      </c>
      <c r="D14" s="230" t="s">
        <v>17</v>
      </c>
      <c r="E14" s="230" t="s">
        <v>18</v>
      </c>
      <c r="F14" s="230" t="s">
        <v>7</v>
      </c>
      <c r="G14" s="230" t="s">
        <v>19</v>
      </c>
      <c r="H14" s="230" t="s">
        <v>20</v>
      </c>
      <c r="I14" s="230" t="s">
        <v>21</v>
      </c>
      <c r="J14" s="230" t="s">
        <v>22</v>
      </c>
      <c r="K14" s="230" t="s">
        <v>23</v>
      </c>
      <c r="L14" s="230" t="s">
        <v>24</v>
      </c>
      <c r="M14" s="226" t="s">
        <v>25</v>
      </c>
      <c r="N14" s="220" t="s">
        <v>26</v>
      </c>
    </row>
    <row r="15" spans="1:14" ht="13.5" thickBot="1" x14ac:dyDescent="0.25">
      <c r="A15" s="235" t="s">
        <v>95</v>
      </c>
      <c r="B15" s="231">
        <v>31</v>
      </c>
      <c r="C15" s="231">
        <v>28.25</v>
      </c>
      <c r="D15" s="231">
        <v>31</v>
      </c>
      <c r="E15" s="231">
        <v>30</v>
      </c>
      <c r="F15" s="231">
        <v>31</v>
      </c>
      <c r="G15" s="231">
        <v>30</v>
      </c>
      <c r="H15" s="231">
        <v>31</v>
      </c>
      <c r="I15" s="231">
        <v>31</v>
      </c>
      <c r="J15" s="231">
        <v>30</v>
      </c>
      <c r="K15" s="231">
        <v>31</v>
      </c>
      <c r="L15" s="231">
        <v>30</v>
      </c>
      <c r="M15" s="219">
        <v>31</v>
      </c>
      <c r="N15" s="221" t="s">
        <v>92</v>
      </c>
    </row>
    <row r="16" spans="1:14" ht="12.75" x14ac:dyDescent="0.2">
      <c r="A16" s="222"/>
      <c r="B16" s="228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24"/>
      <c r="N16" s="192"/>
    </row>
    <row r="17" spans="1:14" ht="13.5" thickBot="1" x14ac:dyDescent="0.25">
      <c r="A17" s="222" t="s">
        <v>93</v>
      </c>
      <c r="B17" s="229">
        <f t="shared" ref="B17:M17" si="0">+$D$4*$D$5*24*B15/1000</f>
        <v>572.88</v>
      </c>
      <c r="C17" s="233">
        <f t="shared" si="0"/>
        <v>522.05999999999995</v>
      </c>
      <c r="D17" s="233">
        <f t="shared" si="0"/>
        <v>572.88</v>
      </c>
      <c r="E17" s="233">
        <f t="shared" si="0"/>
        <v>554.4</v>
      </c>
      <c r="F17" s="233">
        <f t="shared" si="0"/>
        <v>572.88</v>
      </c>
      <c r="G17" s="233">
        <f t="shared" si="0"/>
        <v>554.4</v>
      </c>
      <c r="H17" s="233">
        <f t="shared" si="0"/>
        <v>572.88</v>
      </c>
      <c r="I17" s="233">
        <f t="shared" si="0"/>
        <v>572.88</v>
      </c>
      <c r="J17" s="233">
        <f t="shared" si="0"/>
        <v>554.4</v>
      </c>
      <c r="K17" s="233">
        <f t="shared" si="0"/>
        <v>572.88</v>
      </c>
      <c r="L17" s="233">
        <f t="shared" si="0"/>
        <v>554.4</v>
      </c>
      <c r="M17" s="225">
        <f t="shared" si="0"/>
        <v>572.88</v>
      </c>
      <c r="N17" s="193">
        <f>SUM(B17:M17)</f>
        <v>6749.82</v>
      </c>
    </row>
    <row r="18" spans="1:14" ht="12.75" x14ac:dyDescent="0.2">
      <c r="A18" s="223"/>
      <c r="B18" s="228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18"/>
      <c r="N18" s="194"/>
    </row>
    <row r="19" spans="1:14" ht="13.5" thickBot="1" x14ac:dyDescent="0.25">
      <c r="A19" s="171" t="s">
        <v>94</v>
      </c>
      <c r="B19" s="229">
        <f t="shared" ref="B19:M19" si="1">+$D$9*$D$10*24*B15/1000</f>
        <v>572.88</v>
      </c>
      <c r="C19" s="233">
        <f t="shared" si="1"/>
        <v>522.05999999999995</v>
      </c>
      <c r="D19" s="233">
        <f t="shared" si="1"/>
        <v>572.88</v>
      </c>
      <c r="E19" s="233">
        <f t="shared" si="1"/>
        <v>554.4</v>
      </c>
      <c r="F19" s="233">
        <f t="shared" si="1"/>
        <v>572.88</v>
      </c>
      <c r="G19" s="233">
        <f t="shared" si="1"/>
        <v>554.4</v>
      </c>
      <c r="H19" s="233">
        <f t="shared" si="1"/>
        <v>572.88</v>
      </c>
      <c r="I19" s="233">
        <f t="shared" si="1"/>
        <v>572.88</v>
      </c>
      <c r="J19" s="233">
        <f t="shared" si="1"/>
        <v>554.4</v>
      </c>
      <c r="K19" s="233">
        <f t="shared" si="1"/>
        <v>572.88</v>
      </c>
      <c r="L19" s="233">
        <f t="shared" si="1"/>
        <v>554.4</v>
      </c>
      <c r="M19" s="225">
        <f t="shared" si="1"/>
        <v>572.88</v>
      </c>
      <c r="N19" s="193">
        <f t="shared" ref="N19" si="2">SUM(B19:M19)</f>
        <v>6749.82</v>
      </c>
    </row>
  </sheetData>
  <pageMargins left="0.7" right="0.7" top="0.75" bottom="0.75" header="0.3" footer="0.3"/>
  <pageSetup orientation="landscape" r:id="rId1"/>
  <headerFooter>
    <oddHeader>&amp;C&amp;"-,Bold"&amp;18FACILITY NAME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4"/>
  <sheetViews>
    <sheetView zoomScale="115" zoomScaleNormal="115" workbookViewId="0"/>
  </sheetViews>
  <sheetFormatPr defaultColWidth="9.109375" defaultRowHeight="13.2" x14ac:dyDescent="0.25"/>
  <cols>
    <col min="1" max="1" width="6.44140625" style="8" customWidth="1"/>
    <col min="2" max="2" width="45.44140625" style="8" customWidth="1"/>
    <col min="3" max="3" width="11" style="8" customWidth="1"/>
    <col min="4" max="4" width="9.88671875" style="8" bestFit="1" customWidth="1"/>
    <col min="5" max="7" width="7.6640625" style="8" customWidth="1"/>
    <col min="8" max="8" width="9.5546875" style="8" customWidth="1"/>
    <col min="9" max="9" width="7.6640625" style="8" customWidth="1"/>
    <col min="10" max="10" width="10.88671875" style="8" bestFit="1" customWidth="1"/>
    <col min="11" max="11" width="11" style="8" customWidth="1"/>
    <col min="12" max="12" width="10.88671875" style="8" bestFit="1" customWidth="1"/>
    <col min="13" max="14" width="10.88671875" style="8" customWidth="1"/>
    <col min="15" max="15" width="9.6640625" style="8" bestFit="1" customWidth="1"/>
    <col min="16" max="16" width="11.5546875" style="17" customWidth="1"/>
    <col min="17" max="18" width="9.109375" style="8"/>
    <col min="19" max="20" width="9.109375" style="8" customWidth="1"/>
    <col min="21" max="16384" width="9.109375" style="8"/>
  </cols>
  <sheetData>
    <row r="1" spans="1:33" ht="15" customHeight="1" thickBot="1" x14ac:dyDescent="0.25">
      <c r="B1" s="247" t="s">
        <v>52</v>
      </c>
      <c r="C1" s="244">
        <f>+O160</f>
        <v>0.20289469076555444</v>
      </c>
      <c r="D1" s="149"/>
      <c r="E1" s="87" t="str">
        <f>+'cfs limit calculation'!J1</f>
        <v>FACILITY NAME:</v>
      </c>
      <c r="F1" s="17"/>
      <c r="G1" s="17"/>
      <c r="H1" s="17" t="str">
        <f>+'cfs limit calculation'!L1</f>
        <v>XXXXXX Hydro Project</v>
      </c>
    </row>
    <row r="2" spans="1:33" ht="15" customHeight="1" x14ac:dyDescent="0.2">
      <c r="B2" s="114" t="s">
        <v>50</v>
      </c>
      <c r="C2" s="245">
        <f>+O161</f>
        <v>0.16867203116211846</v>
      </c>
      <c r="D2" s="150"/>
      <c r="E2" s="87" t="s">
        <v>57</v>
      </c>
    </row>
    <row r="3" spans="1:33" ht="15" customHeight="1" thickBot="1" x14ac:dyDescent="0.25">
      <c r="B3" s="115" t="s">
        <v>51</v>
      </c>
      <c r="C3" s="246">
        <f>+O162</f>
        <v>0.83132796883788151</v>
      </c>
      <c r="D3" s="150"/>
      <c r="Z3" s="17"/>
    </row>
    <row r="4" spans="1:33" ht="15" customHeight="1" x14ac:dyDescent="0.2">
      <c r="A4" s="6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68"/>
      <c r="S4" s="12"/>
      <c r="Z4" s="17"/>
    </row>
    <row r="5" spans="1:33" ht="15" customHeight="1" thickBot="1" x14ac:dyDescent="0.35">
      <c r="A5" s="71" t="s">
        <v>61</v>
      </c>
      <c r="O5" s="71" t="s">
        <v>61</v>
      </c>
      <c r="P5" s="184"/>
      <c r="R5" s="13"/>
      <c r="S5" s="66"/>
      <c r="W5" s="66"/>
      <c r="Z5" s="67"/>
    </row>
    <row r="6" spans="1:33" ht="15" customHeight="1" thickBot="1" x14ac:dyDescent="0.25">
      <c r="A6" s="69"/>
      <c r="B6" s="12"/>
      <c r="C6" s="60" t="s">
        <v>3</v>
      </c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13</v>
      </c>
      <c r="J6" s="38" t="s">
        <v>9</v>
      </c>
      <c r="K6" s="38" t="s">
        <v>10</v>
      </c>
      <c r="L6" s="38" t="s">
        <v>11</v>
      </c>
      <c r="M6" s="38" t="s">
        <v>14</v>
      </c>
      <c r="N6" s="59" t="s">
        <v>12</v>
      </c>
      <c r="O6" s="186" t="s">
        <v>68</v>
      </c>
      <c r="P6" s="187" t="s">
        <v>69</v>
      </c>
      <c r="Q6" s="1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15" customHeight="1" x14ac:dyDescent="0.2">
      <c r="A7" s="86">
        <v>1995</v>
      </c>
      <c r="B7" s="151" t="s">
        <v>45</v>
      </c>
      <c r="C7" s="79">
        <f>+'Monthly Historical Flow-Gen'!B33</f>
        <v>1264.0024038461538</v>
      </c>
      <c r="D7" s="80">
        <f>+'Monthly Historical Flow-Gen'!C33</f>
        <v>734.45192307692309</v>
      </c>
      <c r="E7" s="80">
        <f>+'Monthly Historical Flow-Gen'!D33</f>
        <v>998.78365384615381</v>
      </c>
      <c r="F7" s="80">
        <f>+'Monthly Historical Flow-Gen'!E33</f>
        <v>571.32908653846152</v>
      </c>
      <c r="G7" s="80">
        <f>+'Monthly Historical Flow-Gen'!F33</f>
        <v>455.57307692307694</v>
      </c>
      <c r="H7" s="80">
        <f>+'Monthly Historical Flow-Gen'!G33</f>
        <v>213.94903846153844</v>
      </c>
      <c r="I7" s="80">
        <f>+'Monthly Historical Flow-Gen'!H33</f>
        <v>128.08557692307693</v>
      </c>
      <c r="J7" s="80">
        <f>+'Monthly Historical Flow-Gen'!I33</f>
        <v>112.47403846153846</v>
      </c>
      <c r="K7" s="80">
        <f>+'Monthly Historical Flow-Gen'!J33</f>
        <v>94.290144230769229</v>
      </c>
      <c r="L7" s="80">
        <f>+'Monthly Historical Flow-Gen'!K33</f>
        <v>449.63004807692306</v>
      </c>
      <c r="M7" s="80">
        <f>+'Monthly Historical Flow-Gen'!L33</f>
        <v>967.73798076923072</v>
      </c>
      <c r="N7" s="81">
        <f>+'Monthly Historical Flow-Gen'!M33</f>
        <v>474.46658653846151</v>
      </c>
      <c r="O7" s="86">
        <f>+A7</f>
        <v>1995</v>
      </c>
      <c r="P7" s="188"/>
      <c r="Q7" s="52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55"/>
    </row>
    <row r="8" spans="1:33" ht="15" customHeight="1" x14ac:dyDescent="0.2">
      <c r="B8" s="22" t="s">
        <v>43</v>
      </c>
      <c r="C8" s="47">
        <f>IF(C7&gt;$O8,$O8,C7)</f>
        <v>927.14285714285722</v>
      </c>
      <c r="D8" s="46">
        <f t="shared" ref="D8:N8" si="0">IF(D7&gt;$O8,$O8,D7)</f>
        <v>734.45192307692309</v>
      </c>
      <c r="E8" s="46">
        <f t="shared" si="0"/>
        <v>927.14285714285722</v>
      </c>
      <c r="F8" s="46">
        <f t="shared" si="0"/>
        <v>571.32908653846152</v>
      </c>
      <c r="G8" s="46">
        <f t="shared" si="0"/>
        <v>455.57307692307694</v>
      </c>
      <c r="H8" s="46">
        <f t="shared" si="0"/>
        <v>213.94903846153844</v>
      </c>
      <c r="I8" s="46">
        <f t="shared" si="0"/>
        <v>128.08557692307693</v>
      </c>
      <c r="J8" s="46">
        <f t="shared" si="0"/>
        <v>112.47403846153846</v>
      </c>
      <c r="K8" s="46">
        <f t="shared" si="0"/>
        <v>94.290144230769229</v>
      </c>
      <c r="L8" s="46">
        <f t="shared" si="0"/>
        <v>449.63004807692306</v>
      </c>
      <c r="M8" s="46">
        <f t="shared" si="0"/>
        <v>927.14285714285722</v>
      </c>
      <c r="N8" s="45">
        <f t="shared" si="0"/>
        <v>474.46658653846151</v>
      </c>
      <c r="O8" s="185">
        <f>IF(P8="Pre",'cfs limit calculation'!$E$6,'cfs limit calculation'!$E$11)</f>
        <v>927.14285714285722</v>
      </c>
      <c r="P8" s="190" t="s">
        <v>53</v>
      </c>
      <c r="Q8" s="52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55"/>
    </row>
    <row r="9" spans="1:33" ht="15" customHeight="1" x14ac:dyDescent="0.2">
      <c r="A9" s="85"/>
      <c r="B9" s="8" t="s">
        <v>44</v>
      </c>
      <c r="C9" s="47">
        <f>+'Monthly Historical Flow-Gen'!B59</f>
        <v>879.73401045856804</v>
      </c>
      <c r="D9" s="46">
        <f>+'Monthly Historical Flow-Gen'!C59</f>
        <v>516.43645213628986</v>
      </c>
      <c r="E9" s="46">
        <f>+'Monthly Historical Flow-Gen'!D59</f>
        <v>660.42393967954752</v>
      </c>
      <c r="F9" s="46">
        <f>+'Monthly Historical Flow-Gen'!E59</f>
        <v>383.38440771349866</v>
      </c>
      <c r="G9" s="46">
        <f>+'Monthly Historical Flow-Gen'!F59</f>
        <v>363.27402409638563</v>
      </c>
      <c r="H9" s="46">
        <f>+'Monthly Historical Flow-Gen'!G59</f>
        <v>143.22403003754692</v>
      </c>
      <c r="I9" s="46">
        <f>+'Monthly Historical Flow-Gen'!H59</f>
        <v>63.896411092985325</v>
      </c>
      <c r="J9" s="46">
        <f>+'Monthly Historical Flow-Gen'!I59</f>
        <v>16.790730669188935</v>
      </c>
      <c r="K9" s="46">
        <f>+'Monthly Historical Flow-Gen'!J59</f>
        <v>0.29100508408290965</v>
      </c>
      <c r="L9" s="46">
        <f>+'Monthly Historical Flow-Gen'!K59</f>
        <v>49.736407229804506</v>
      </c>
      <c r="M9" s="46">
        <f>+'Monthly Historical Flow-Gen'!L59</f>
        <v>499.21974965229487</v>
      </c>
      <c r="N9" s="45">
        <f>+'Monthly Historical Flow-Gen'!M59</f>
        <v>181.67855937702791</v>
      </c>
      <c r="O9" s="85"/>
      <c r="P9" s="189"/>
      <c r="Q9" s="51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55"/>
    </row>
    <row r="10" spans="1:33" ht="15" customHeight="1" x14ac:dyDescent="0.2">
      <c r="B10" s="22" t="s">
        <v>67</v>
      </c>
      <c r="C10" s="47">
        <f>IF($P8="Pre",IF('cfs limit calculation'!B$17&gt;Calculations!C9,Calculations!C9,'cfs limit calculation'!B$17),IF('cfs limit calculation'!B$19&gt;Calculations!C9,Calculations!C9,'cfs limit calculation'!B$19))</f>
        <v>572.88</v>
      </c>
      <c r="D10" s="46">
        <f>IF($P8="Pre",IF('cfs limit calculation'!C$17&gt;Calculations!D9,Calculations!D9,'cfs limit calculation'!C$17),IF('cfs limit calculation'!C$19&gt;Calculations!D9,Calculations!D9,'cfs limit calculation'!C$19))</f>
        <v>516.43645213628986</v>
      </c>
      <c r="E10" s="46">
        <f>IF($P8="Pre",IF('cfs limit calculation'!D$17&gt;Calculations!E9,Calculations!E9,'cfs limit calculation'!D$17),IF('cfs limit calculation'!D$19&gt;Calculations!E9,Calculations!E9,'cfs limit calculation'!D$19))</f>
        <v>572.88</v>
      </c>
      <c r="F10" s="46">
        <f>IF($P8="Pre",IF('cfs limit calculation'!E$17&gt;Calculations!F9,Calculations!F9,'cfs limit calculation'!E$17),IF('cfs limit calculation'!E$19&gt;Calculations!F9,Calculations!F9,'cfs limit calculation'!E$19))</f>
        <v>383.38440771349866</v>
      </c>
      <c r="G10" s="46">
        <f>IF($P8="Pre",IF('cfs limit calculation'!F$17&gt;Calculations!G9,Calculations!G9,'cfs limit calculation'!F$17),IF('cfs limit calculation'!F$19&gt;Calculations!G9,Calculations!G9,'cfs limit calculation'!F$19))</f>
        <v>363.27402409638563</v>
      </c>
      <c r="H10" s="46">
        <f>IF($P8="Pre",IF('cfs limit calculation'!G$17&gt;Calculations!H9,Calculations!H9,'cfs limit calculation'!G$17),IF('cfs limit calculation'!G$19&gt;Calculations!H9,Calculations!H9,'cfs limit calculation'!G$19))</f>
        <v>143.22403003754692</v>
      </c>
      <c r="I10" s="46">
        <f>IF($P8="Pre",IF('cfs limit calculation'!H$17&gt;Calculations!I9,Calculations!I9,'cfs limit calculation'!H$17),IF('cfs limit calculation'!H$19&gt;Calculations!I9,Calculations!I9,'cfs limit calculation'!H$19))</f>
        <v>63.896411092985325</v>
      </c>
      <c r="J10" s="46">
        <f>IF($P8="Pre",IF('cfs limit calculation'!I$17&gt;Calculations!J9,Calculations!J9,'cfs limit calculation'!I$17),IF('cfs limit calculation'!I$19&gt;Calculations!J9,Calculations!J9,'cfs limit calculation'!I$19))</f>
        <v>16.790730669188935</v>
      </c>
      <c r="K10" s="46">
        <f>IF($P8="Pre",IF('cfs limit calculation'!J$17&gt;Calculations!K9,Calculations!K9,'cfs limit calculation'!J$17),IF('cfs limit calculation'!J$19&gt;Calculations!K9,Calculations!K9,'cfs limit calculation'!J$19))</f>
        <v>0.29100508408290965</v>
      </c>
      <c r="L10" s="46">
        <f>IF($P8="Pre",IF('cfs limit calculation'!K$17&gt;Calculations!L9,Calculations!L9,'cfs limit calculation'!K$17),IF('cfs limit calculation'!K$19&gt;Calculations!L9,Calculations!L9,'cfs limit calculation'!K$19))</f>
        <v>49.736407229804506</v>
      </c>
      <c r="M10" s="46">
        <f>IF($P8="Pre",IF('cfs limit calculation'!L$17&gt;Calculations!M9,Calculations!M9,'cfs limit calculation'!L$17),IF('cfs limit calculation'!L$19&gt;Calculations!M9,Calculations!M9,'cfs limit calculation'!L$19))</f>
        <v>499.21974965229487</v>
      </c>
      <c r="N10" s="45">
        <f>IF($P8="Pre",IF('cfs limit calculation'!M$17&gt;Calculations!N9,Calculations!N9,'cfs limit calculation'!M$17),IF('cfs limit calculation'!M$19&gt;Calculations!N9,Calculations!N9,'cfs limit calculation'!M$19))</f>
        <v>181.67855937702791</v>
      </c>
      <c r="O10" s="65"/>
      <c r="P10" s="48"/>
      <c r="Q10" s="51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55"/>
    </row>
    <row r="11" spans="1:33" ht="15" customHeight="1" thickBot="1" x14ac:dyDescent="0.25">
      <c r="A11" s="78"/>
      <c r="B11" s="155" t="s">
        <v>42</v>
      </c>
      <c r="C11" s="265">
        <f t="shared" ref="C11:N11" si="1">+C10/C8</f>
        <v>0.61789830508474575</v>
      </c>
      <c r="D11" s="266">
        <f t="shared" si="1"/>
        <v>0.70315896236301456</v>
      </c>
      <c r="E11" s="266">
        <f t="shared" si="1"/>
        <v>0.61789830508474575</v>
      </c>
      <c r="F11" s="266">
        <f t="shared" si="1"/>
        <v>0.67103954051478076</v>
      </c>
      <c r="G11" s="266">
        <f t="shared" si="1"/>
        <v>0.7974001153666157</v>
      </c>
      <c r="H11" s="266">
        <f t="shared" si="1"/>
        <v>0.66943058528068244</v>
      </c>
      <c r="I11" s="266">
        <f t="shared" si="1"/>
        <v>0.49885719085575853</v>
      </c>
      <c r="J11" s="266">
        <f t="shared" si="1"/>
        <v>0.14928538975623856</v>
      </c>
      <c r="K11" s="266">
        <f t="shared" si="1"/>
        <v>3.0862725522053814E-3</v>
      </c>
      <c r="L11" s="266">
        <f t="shared" si="1"/>
        <v>0.11061628875233792</v>
      </c>
      <c r="M11" s="266">
        <f t="shared" si="1"/>
        <v>0.53844965293776026</v>
      </c>
      <c r="N11" s="267">
        <f t="shared" si="1"/>
        <v>0.38291117758679211</v>
      </c>
      <c r="O11" s="78"/>
      <c r="P11" s="191"/>
      <c r="Q11" s="51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55"/>
    </row>
    <row r="12" spans="1:33" ht="15" customHeight="1" x14ac:dyDescent="0.2">
      <c r="A12" s="85">
        <v>1996</v>
      </c>
      <c r="B12" s="58" t="s">
        <v>45</v>
      </c>
      <c r="C12" s="47">
        <f>+'Monthly Historical Flow-Gen'!B34</f>
        <v>1513.2548076923076</v>
      </c>
      <c r="D12" s="46">
        <f>+'Monthly Historical Flow-Gen'!C34</f>
        <v>1528.3341346153845</v>
      </c>
      <c r="E12" s="46">
        <f>+'Monthly Historical Flow-Gen'!D34</f>
        <v>1228.5216346153845</v>
      </c>
      <c r="F12" s="46">
        <f>+'Monthly Historical Flow-Gen'!E34</f>
        <v>1589.5384615384614</v>
      </c>
      <c r="G12" s="46">
        <f>+'Monthly Historical Flow-Gen'!F34</f>
        <v>1083.0504807692307</v>
      </c>
      <c r="H12" s="46">
        <f>+'Monthly Historical Flow-Gen'!G34</f>
        <v>404.56947115384617</v>
      </c>
      <c r="I12" s="46">
        <f>+'Monthly Historical Flow-Gen'!H34</f>
        <v>497.26298076923075</v>
      </c>
      <c r="J12" s="46">
        <f>+'Monthly Historical Flow-Gen'!I34</f>
        <v>260.69495192307687</v>
      </c>
      <c r="K12" s="46">
        <f>+'Monthly Historical Flow-Gen'!J34</f>
        <v>503.64951923076916</v>
      </c>
      <c r="L12" s="46">
        <f>+'Monthly Historical Flow-Gen'!K34</f>
        <v>1201.0240384615383</v>
      </c>
      <c r="M12" s="46">
        <f>+'Monthly Historical Flow-Gen'!L34</f>
        <v>846.57115384615383</v>
      </c>
      <c r="N12" s="45">
        <f>+'Monthly Historical Flow-Gen'!M34</f>
        <v>2103.1225961538462</v>
      </c>
      <c r="O12" s="85">
        <f>+A12</f>
        <v>1996</v>
      </c>
      <c r="P12" s="189"/>
      <c r="Q12" s="51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55"/>
    </row>
    <row r="13" spans="1:33" ht="15" customHeight="1" x14ac:dyDescent="0.2">
      <c r="A13" s="65"/>
      <c r="B13" s="48" t="s">
        <v>43</v>
      </c>
      <c r="C13" s="47">
        <f>IF(C12&gt;$O13,$O13,C12)</f>
        <v>927.14285714285722</v>
      </c>
      <c r="D13" s="46">
        <f t="shared" ref="D13" si="2">IF(D12&gt;$O13,$O13,D12)</f>
        <v>927.14285714285722</v>
      </c>
      <c r="E13" s="46">
        <f t="shared" ref="E13" si="3">IF(E12&gt;$O13,$O13,E12)</f>
        <v>927.14285714285722</v>
      </c>
      <c r="F13" s="46">
        <f t="shared" ref="F13" si="4">IF(F12&gt;$O13,$O13,F12)</f>
        <v>927.14285714285722</v>
      </c>
      <c r="G13" s="46">
        <f t="shared" ref="G13" si="5">IF(G12&gt;$O13,$O13,G12)</f>
        <v>927.14285714285722</v>
      </c>
      <c r="H13" s="46">
        <f t="shared" ref="H13" si="6">IF(H12&gt;$O13,$O13,H12)</f>
        <v>404.56947115384617</v>
      </c>
      <c r="I13" s="46">
        <f t="shared" ref="I13" si="7">IF(I12&gt;$O13,$O13,I12)</f>
        <v>497.26298076923075</v>
      </c>
      <c r="J13" s="46">
        <f t="shared" ref="J13" si="8">IF(J12&gt;$O13,$O13,J12)</f>
        <v>260.69495192307687</v>
      </c>
      <c r="K13" s="46">
        <f t="shared" ref="K13" si="9">IF(K12&gt;$O13,$O13,K12)</f>
        <v>503.64951923076916</v>
      </c>
      <c r="L13" s="46">
        <f t="shared" ref="L13" si="10">IF(L12&gt;$O13,$O13,L12)</f>
        <v>927.14285714285722</v>
      </c>
      <c r="M13" s="46">
        <f t="shared" ref="M13" si="11">IF(M12&gt;$O13,$O13,M12)</f>
        <v>846.57115384615383</v>
      </c>
      <c r="N13" s="45">
        <f t="shared" ref="N13" si="12">IF(N12&gt;$O13,$O13,N12)</f>
        <v>927.14285714285722</v>
      </c>
      <c r="O13" s="185">
        <f>IF(P13="Pre",'cfs limit calculation'!$E$6,'cfs limit calculation'!$E$11)</f>
        <v>927.14285714285722</v>
      </c>
      <c r="P13" s="190" t="str">
        <f>+P8</f>
        <v>Pre</v>
      </c>
      <c r="Q13" s="5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55"/>
    </row>
    <row r="14" spans="1:33" ht="15" customHeight="1" x14ac:dyDescent="0.2">
      <c r="A14" s="85"/>
      <c r="B14" s="8" t="s">
        <v>44</v>
      </c>
      <c r="C14" s="47">
        <f>+'Monthly Historical Flow-Gen'!B60</f>
        <v>1053.2113837489944</v>
      </c>
      <c r="D14" s="46">
        <f>+'Monthly Historical Flow-Gen'!C60</f>
        <v>1074.6618442401298</v>
      </c>
      <c r="E14" s="46">
        <f>+'Monthly Historical Flow-Gen'!D60</f>
        <v>812.33317624882181</v>
      </c>
      <c r="F14" s="46">
        <f>+'Monthly Historical Flow-Gen'!E60</f>
        <v>1066.6431588613407</v>
      </c>
      <c r="G14" s="46">
        <f>+'Monthly Historical Flow-Gen'!F60</f>
        <v>863.62457831325321</v>
      </c>
      <c r="H14" s="46">
        <f>+'Monthly Historical Flow-Gen'!G60</f>
        <v>270.83117786121545</v>
      </c>
      <c r="I14" s="46">
        <f>+'Monthly Historical Flow-Gen'!H60</f>
        <v>248.06321370309954</v>
      </c>
      <c r="J14" s="46">
        <f>+'Monthly Historical Flow-Gen'!I60</f>
        <v>38.917947505320406</v>
      </c>
      <c r="K14" s="46">
        <f>+'Monthly Historical Flow-Gen'!J60</f>
        <v>1.5543996871333592</v>
      </c>
      <c r="L14" s="46">
        <f>+'Monthly Historical Flow-Gen'!K60</f>
        <v>132.85282183696054</v>
      </c>
      <c r="M14" s="46">
        <f>+'Monthly Historical Flow-Gen'!L60</f>
        <v>436.71432545201674</v>
      </c>
      <c r="N14" s="45">
        <f>+'Monthly Historical Flow-Gen'!M60</f>
        <v>805.30914990266069</v>
      </c>
      <c r="O14" s="85"/>
      <c r="P14" s="189"/>
      <c r="Q14" s="51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55"/>
    </row>
    <row r="15" spans="1:33" ht="15" customHeight="1" x14ac:dyDescent="0.2">
      <c r="B15" s="22" t="s">
        <v>67</v>
      </c>
      <c r="C15" s="47">
        <f>IF($P13="Pre",IF('cfs limit calculation'!B$17&gt;Calculations!C14,Calculations!C14,'cfs limit calculation'!B$17),IF('cfs limit calculation'!B$19&gt;Calculations!C14,Calculations!C14,'cfs limit calculation'!B$19))</f>
        <v>572.88</v>
      </c>
      <c r="D15" s="46">
        <f>IF($P13="Pre",IF('cfs limit calculation'!C$17&gt;Calculations!D14,Calculations!D14,'cfs limit calculation'!C$17),IF('cfs limit calculation'!C$19&gt;Calculations!D14,Calculations!D14,'cfs limit calculation'!C$19))</f>
        <v>522.05999999999995</v>
      </c>
      <c r="E15" s="46">
        <f>IF($P13="Pre",IF('cfs limit calculation'!D$17&gt;Calculations!E14,Calculations!E14,'cfs limit calculation'!D$17),IF('cfs limit calculation'!D$19&gt;Calculations!E14,Calculations!E14,'cfs limit calculation'!D$19))</f>
        <v>572.88</v>
      </c>
      <c r="F15" s="46">
        <f>IF($P13="Pre",IF('cfs limit calculation'!E$17&gt;Calculations!F14,Calculations!F14,'cfs limit calculation'!E$17),IF('cfs limit calculation'!E$19&gt;Calculations!F14,Calculations!F14,'cfs limit calculation'!E$19))</f>
        <v>554.4</v>
      </c>
      <c r="G15" s="46">
        <f>IF($P13="Pre",IF('cfs limit calculation'!F$17&gt;Calculations!G14,Calculations!G14,'cfs limit calculation'!F$17),IF('cfs limit calculation'!F$19&gt;Calculations!G14,Calculations!G14,'cfs limit calculation'!F$19))</f>
        <v>572.88</v>
      </c>
      <c r="H15" s="46">
        <f>IF($P13="Pre",IF('cfs limit calculation'!G$17&gt;Calculations!H14,Calculations!H14,'cfs limit calculation'!G$17),IF('cfs limit calculation'!G$19&gt;Calculations!H14,Calculations!H14,'cfs limit calculation'!G$19))</f>
        <v>270.83117786121545</v>
      </c>
      <c r="I15" s="46">
        <f>IF($P13="Pre",IF('cfs limit calculation'!H$17&gt;Calculations!I14,Calculations!I14,'cfs limit calculation'!H$17),IF('cfs limit calculation'!H$19&gt;Calculations!I14,Calculations!I14,'cfs limit calculation'!H$19))</f>
        <v>248.06321370309954</v>
      </c>
      <c r="J15" s="46">
        <f>IF($P13="Pre",IF('cfs limit calculation'!I$17&gt;Calculations!J14,Calculations!J14,'cfs limit calculation'!I$17),IF('cfs limit calculation'!I$19&gt;Calculations!J14,Calculations!J14,'cfs limit calculation'!I$19))</f>
        <v>38.917947505320406</v>
      </c>
      <c r="K15" s="46">
        <f>IF($P13="Pre",IF('cfs limit calculation'!J$17&gt;Calculations!K14,Calculations!K14,'cfs limit calculation'!J$17),IF('cfs limit calculation'!J$19&gt;Calculations!K14,Calculations!K14,'cfs limit calculation'!J$19))</f>
        <v>1.5543996871333592</v>
      </c>
      <c r="L15" s="46">
        <f>IF($P13="Pre",IF('cfs limit calculation'!K$17&gt;Calculations!L14,Calculations!L14,'cfs limit calculation'!K$17),IF('cfs limit calculation'!K$19&gt;Calculations!L14,Calculations!L14,'cfs limit calculation'!K$19))</f>
        <v>132.85282183696054</v>
      </c>
      <c r="M15" s="46">
        <f>IF($P13="Pre",IF('cfs limit calculation'!L$17&gt;Calculations!M14,Calculations!M14,'cfs limit calculation'!L$17),IF('cfs limit calculation'!L$19&gt;Calculations!M14,Calculations!M14,'cfs limit calculation'!L$19))</f>
        <v>436.71432545201674</v>
      </c>
      <c r="N15" s="45">
        <f>IF($P13="Pre",IF('cfs limit calculation'!M$17&gt;Calculations!N14,Calculations!N14,'cfs limit calculation'!M$17),IF('cfs limit calculation'!M$19&gt;Calculations!N14,Calculations!N14,'cfs limit calculation'!M$19))</f>
        <v>572.88</v>
      </c>
      <c r="O15" s="85"/>
      <c r="P15" s="189"/>
      <c r="Q15" s="51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55"/>
    </row>
    <row r="16" spans="1:33" ht="15" customHeight="1" thickBot="1" x14ac:dyDescent="0.25">
      <c r="A16" s="78"/>
      <c r="B16" s="50" t="s">
        <v>42</v>
      </c>
      <c r="C16" s="265">
        <f t="shared" ref="C16:N16" si="13">+C15/C13</f>
        <v>0.61789830508474575</v>
      </c>
      <c r="D16" s="266">
        <f t="shared" si="13"/>
        <v>0.56308474576271172</v>
      </c>
      <c r="E16" s="266">
        <f t="shared" si="13"/>
        <v>0.61789830508474575</v>
      </c>
      <c r="F16" s="266">
        <f t="shared" si="13"/>
        <v>0.59796610169491515</v>
      </c>
      <c r="G16" s="266">
        <f t="shared" si="13"/>
        <v>0.61789830508474575</v>
      </c>
      <c r="H16" s="266">
        <f t="shared" si="13"/>
        <v>0.66943058528068256</v>
      </c>
      <c r="I16" s="266">
        <f t="shared" si="13"/>
        <v>0.49885719085575853</v>
      </c>
      <c r="J16" s="266">
        <f t="shared" si="13"/>
        <v>0.14928538975623856</v>
      </c>
      <c r="K16" s="266">
        <f t="shared" si="13"/>
        <v>3.0862725522053814E-3</v>
      </c>
      <c r="L16" s="266">
        <f t="shared" si="13"/>
        <v>0.14329272000904833</v>
      </c>
      <c r="M16" s="268">
        <f t="shared" si="13"/>
        <v>0.51586251606605082</v>
      </c>
      <c r="N16" s="267">
        <f t="shared" si="13"/>
        <v>0.61789830508474575</v>
      </c>
      <c r="O16" s="78"/>
      <c r="P16" s="191"/>
      <c r="Q16" s="51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55"/>
    </row>
    <row r="17" spans="1:33" ht="15" customHeight="1" x14ac:dyDescent="0.2">
      <c r="A17" s="85">
        <v>1997</v>
      </c>
      <c r="B17" s="58" t="s">
        <v>45</v>
      </c>
      <c r="C17" s="47">
        <f>+'Monthly Historical Flow-Gen'!B35</f>
        <v>1169.9783653846152</v>
      </c>
      <c r="D17" s="46">
        <f>+'Monthly Historical Flow-Gen'!C35</f>
        <v>1024.5072115384614</v>
      </c>
      <c r="E17" s="46">
        <f>+'Monthly Historical Flow-Gen'!D35</f>
        <v>938.46634615384608</v>
      </c>
      <c r="F17" s="46">
        <f>+'Monthly Historical Flow-Gen'!E35</f>
        <v>1872.497596153846</v>
      </c>
      <c r="G17" s="46">
        <f>+'Monthly Historical Flow-Gen'!F35</f>
        <v>826.25841346153845</v>
      </c>
      <c r="H17" s="46">
        <f>+'Monthly Historical Flow-Gen'!G35</f>
        <v>261.93677884615386</v>
      </c>
      <c r="I17" s="46">
        <f>+'Monthly Historical Flow-Gen'!H35</f>
        <v>111.94182692307692</v>
      </c>
      <c r="J17" s="46">
        <f>+'Monthly Historical Flow-Gen'!I35</f>
        <v>110.43389423076923</v>
      </c>
      <c r="K17" s="46">
        <f>+'Monthly Historical Flow-Gen'!J35</f>
        <v>91.895192307692298</v>
      </c>
      <c r="L17" s="46">
        <f>+'Monthly Historical Flow-Gen'!K35</f>
        <v>109.1920673076923</v>
      </c>
      <c r="M17" s="46">
        <f>+'Monthly Historical Flow-Gen'!L35</f>
        <v>382.6600961538461</v>
      </c>
      <c r="N17" s="36">
        <f>+'Monthly Historical Flow-Gen'!M35</f>
        <v>306.55384615384617</v>
      </c>
      <c r="O17" s="85">
        <f>+A17</f>
        <v>1997</v>
      </c>
      <c r="P17" s="189"/>
      <c r="Q17" s="51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55"/>
    </row>
    <row r="18" spans="1:33" ht="15" customHeight="1" x14ac:dyDescent="0.2">
      <c r="A18" s="65"/>
      <c r="B18" s="48" t="s">
        <v>43</v>
      </c>
      <c r="C18" s="47">
        <f>IF(C17&gt;$O18,$O18,C17)</f>
        <v>927.14285714285722</v>
      </c>
      <c r="D18" s="46">
        <f t="shared" ref="D18" si="14">IF(D17&gt;$O18,$O18,D17)</f>
        <v>927.14285714285722</v>
      </c>
      <c r="E18" s="46">
        <f t="shared" ref="E18" si="15">IF(E17&gt;$O18,$O18,E17)</f>
        <v>927.14285714285722</v>
      </c>
      <c r="F18" s="46">
        <f t="shared" ref="F18" si="16">IF(F17&gt;$O18,$O18,F17)</f>
        <v>927.14285714285722</v>
      </c>
      <c r="G18" s="46">
        <f t="shared" ref="G18" si="17">IF(G17&gt;$O18,$O18,G17)</f>
        <v>826.25841346153845</v>
      </c>
      <c r="H18" s="46">
        <f t="shared" ref="H18" si="18">IF(H17&gt;$O18,$O18,H17)</f>
        <v>261.93677884615386</v>
      </c>
      <c r="I18" s="46">
        <f t="shared" ref="I18" si="19">IF(I17&gt;$O18,$O18,I17)</f>
        <v>111.94182692307692</v>
      </c>
      <c r="J18" s="46">
        <f t="shared" ref="J18" si="20">IF(J17&gt;$O18,$O18,J17)</f>
        <v>110.43389423076923</v>
      </c>
      <c r="K18" s="46">
        <f t="shared" ref="K18" si="21">IF(K17&gt;$O18,$O18,K17)</f>
        <v>91.895192307692298</v>
      </c>
      <c r="L18" s="46">
        <f t="shared" ref="L18" si="22">IF(L17&gt;$O18,$O18,L17)</f>
        <v>109.1920673076923</v>
      </c>
      <c r="M18" s="46">
        <f t="shared" ref="M18" si="23">IF(M17&gt;$O18,$O18,M17)</f>
        <v>382.6600961538461</v>
      </c>
      <c r="N18" s="45">
        <f t="shared" ref="N18" si="24">IF(N17&gt;$O18,$O18,N17)</f>
        <v>306.55384615384617</v>
      </c>
      <c r="O18" s="185">
        <f>IF(P18="Pre",'cfs limit calculation'!$E$6,'cfs limit calculation'!$E$11)</f>
        <v>927.14285714285722</v>
      </c>
      <c r="P18" s="190" t="str">
        <f>+P13</f>
        <v>Pre</v>
      </c>
      <c r="Q18" s="51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55"/>
    </row>
    <row r="19" spans="1:33" ht="15" customHeight="1" x14ac:dyDescent="0.2">
      <c r="A19" s="85"/>
      <c r="B19" s="8" t="s">
        <v>44</v>
      </c>
      <c r="C19" s="47">
        <f>+'Monthly Historical Flow-Gen'!B61</f>
        <v>814.29414722445688</v>
      </c>
      <c r="D19" s="46">
        <f>+'Monthly Historical Flow-Gen'!C61</f>
        <v>720.39142779881013</v>
      </c>
      <c r="E19" s="46">
        <f>+'Monthly Historical Flow-Gen'!D61</f>
        <v>620.54043355325155</v>
      </c>
      <c r="F19" s="46">
        <f>+'Monthly Historical Flow-Gen'!E61</f>
        <v>1256.5199265381084</v>
      </c>
      <c r="G19" s="46">
        <f>+'Monthly Historical Flow-Gen'!F61</f>
        <v>658.85855421686767</v>
      </c>
      <c r="H19" s="46">
        <f>+'Monthly Historical Flow-Gen'!G61</f>
        <v>175.34849116951747</v>
      </c>
      <c r="I19" s="46">
        <f>+'Monthly Historical Flow-Gen'!H61</f>
        <v>55.842985318107672</v>
      </c>
      <c r="J19" s="46">
        <f>+'Monthly Historical Flow-Gen'!I61</f>
        <v>16.486166942539608</v>
      </c>
      <c r="K19" s="46">
        <f>+'Monthly Historical Flow-Gen'!J61</f>
        <v>0.28361360969886584</v>
      </c>
      <c r="L19" s="46">
        <f>+'Monthly Historical Flow-Gen'!K61</f>
        <v>12.078421246772409</v>
      </c>
      <c r="M19" s="46">
        <f>+'Monthly Historical Flow-Gen'!L61</f>
        <v>197.39999999999998</v>
      </c>
      <c r="N19" s="45">
        <f>+'Monthly Historical Flow-Gen'!M61</f>
        <v>117.38289422452954</v>
      </c>
      <c r="O19" s="85"/>
      <c r="P19" s="189"/>
      <c r="Q19" s="51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55"/>
    </row>
    <row r="20" spans="1:33" ht="15" customHeight="1" x14ac:dyDescent="0.2">
      <c r="B20" s="22" t="s">
        <v>67</v>
      </c>
      <c r="C20" s="47">
        <f>IF($P18="Pre",IF('cfs limit calculation'!B$17&gt;Calculations!C19,Calculations!C19,'cfs limit calculation'!B$17),IF('cfs limit calculation'!B$19&gt;Calculations!C19,Calculations!C19,'cfs limit calculation'!B$19))</f>
        <v>572.88</v>
      </c>
      <c r="D20" s="46">
        <f>IF($P18="Pre",IF('cfs limit calculation'!C$17&gt;Calculations!D19,Calculations!D19,'cfs limit calculation'!C$17),IF('cfs limit calculation'!C$19&gt;Calculations!D19,Calculations!D19,'cfs limit calculation'!C$19))</f>
        <v>522.05999999999995</v>
      </c>
      <c r="E20" s="46">
        <f>IF($P18="Pre",IF('cfs limit calculation'!D$17&gt;Calculations!E19,Calculations!E19,'cfs limit calculation'!D$17),IF('cfs limit calculation'!D$19&gt;Calculations!E19,Calculations!E19,'cfs limit calculation'!D$19))</f>
        <v>572.88</v>
      </c>
      <c r="F20" s="46">
        <f>IF($P18="Pre",IF('cfs limit calculation'!E$17&gt;Calculations!F19,Calculations!F19,'cfs limit calculation'!E$17),IF('cfs limit calculation'!E$19&gt;Calculations!F19,Calculations!F19,'cfs limit calculation'!E$19))</f>
        <v>554.4</v>
      </c>
      <c r="G20" s="46">
        <f>IF($P18="Pre",IF('cfs limit calculation'!F$17&gt;Calculations!G19,Calculations!G19,'cfs limit calculation'!F$17),IF('cfs limit calculation'!F$19&gt;Calculations!G19,Calculations!G19,'cfs limit calculation'!F$19))</f>
        <v>572.88</v>
      </c>
      <c r="H20" s="46">
        <f>IF($P18="Pre",IF('cfs limit calculation'!G$17&gt;Calculations!H19,Calculations!H19,'cfs limit calculation'!G$17),IF('cfs limit calculation'!G$19&gt;Calculations!H19,Calculations!H19,'cfs limit calculation'!G$19))</f>
        <v>175.34849116951747</v>
      </c>
      <c r="I20" s="46">
        <f>IF($P18="Pre",IF('cfs limit calculation'!H$17&gt;Calculations!I19,Calculations!I19,'cfs limit calculation'!H$17),IF('cfs limit calculation'!H$19&gt;Calculations!I19,Calculations!I19,'cfs limit calculation'!H$19))</f>
        <v>55.842985318107672</v>
      </c>
      <c r="J20" s="46">
        <f>IF($P18="Pre",IF('cfs limit calculation'!I$17&gt;Calculations!J19,Calculations!J19,'cfs limit calculation'!I$17),IF('cfs limit calculation'!I$19&gt;Calculations!J19,Calculations!J19,'cfs limit calculation'!I$19))</f>
        <v>16.486166942539608</v>
      </c>
      <c r="K20" s="46">
        <f>IF($P18="Pre",IF('cfs limit calculation'!J$17&gt;Calculations!K19,Calculations!K19,'cfs limit calculation'!J$17),IF('cfs limit calculation'!J$19&gt;Calculations!K19,Calculations!K19,'cfs limit calculation'!J$19))</f>
        <v>0.28361360969886584</v>
      </c>
      <c r="L20" s="46">
        <f>IF($P18="Pre",IF('cfs limit calculation'!K$17&gt;Calculations!L19,Calculations!L19,'cfs limit calculation'!K$17),IF('cfs limit calculation'!K$19&gt;Calculations!L19,Calculations!L19,'cfs limit calculation'!K$19))</f>
        <v>12.078421246772409</v>
      </c>
      <c r="M20" s="46">
        <f>IF($P18="Pre",IF('cfs limit calculation'!L$17&gt;Calculations!M19,Calculations!M19,'cfs limit calculation'!L$17),IF('cfs limit calculation'!L$19&gt;Calculations!M19,Calculations!M19,'cfs limit calculation'!L$19))</f>
        <v>197.39999999999998</v>
      </c>
      <c r="N20" s="45">
        <f>IF($P18="Pre",IF('cfs limit calculation'!M$17&gt;Calculations!N19,Calculations!N19,'cfs limit calculation'!M$17),IF('cfs limit calculation'!M$19&gt;Calculations!N19,Calculations!N19,'cfs limit calculation'!M$19))</f>
        <v>117.38289422452954</v>
      </c>
      <c r="O20" s="85"/>
      <c r="P20" s="189"/>
      <c r="Q20" s="51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55"/>
    </row>
    <row r="21" spans="1:33" ht="15" customHeight="1" thickBot="1" x14ac:dyDescent="0.25">
      <c r="A21" s="78"/>
      <c r="B21" s="50" t="s">
        <v>42</v>
      </c>
      <c r="C21" s="265">
        <f t="shared" ref="C21:N21" si="25">+C20/C18</f>
        <v>0.61789830508474575</v>
      </c>
      <c r="D21" s="268">
        <f t="shared" si="25"/>
        <v>0.56308474576271172</v>
      </c>
      <c r="E21" s="266">
        <f t="shared" si="25"/>
        <v>0.61789830508474575</v>
      </c>
      <c r="F21" s="268">
        <f t="shared" si="25"/>
        <v>0.59796610169491515</v>
      </c>
      <c r="G21" s="266">
        <f t="shared" si="25"/>
        <v>0.69334241039672873</v>
      </c>
      <c r="H21" s="266">
        <f t="shared" si="25"/>
        <v>0.66943058528068256</v>
      </c>
      <c r="I21" s="266">
        <f t="shared" si="25"/>
        <v>0.49885719085575853</v>
      </c>
      <c r="J21" s="266">
        <f t="shared" si="25"/>
        <v>0.14928538975623856</v>
      </c>
      <c r="K21" s="266">
        <f t="shared" si="25"/>
        <v>3.0862725522053814E-3</v>
      </c>
      <c r="L21" s="266">
        <f t="shared" si="25"/>
        <v>0.11061628875233792</v>
      </c>
      <c r="M21" s="266">
        <f t="shared" si="25"/>
        <v>0.51586251606605082</v>
      </c>
      <c r="N21" s="267">
        <f t="shared" si="25"/>
        <v>0.38291117758679211</v>
      </c>
      <c r="O21" s="78"/>
      <c r="P21" s="191"/>
      <c r="Q21" s="51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55"/>
    </row>
    <row r="22" spans="1:33" ht="15" customHeight="1" thickBot="1" x14ac:dyDescent="0.35">
      <c r="B22" s="43" t="s">
        <v>66</v>
      </c>
      <c r="C22" s="269">
        <f t="shared" ref="C22:N22" si="26">AVERAGE(C11,C16,C21)</f>
        <v>0.61789830508474575</v>
      </c>
      <c r="D22" s="270">
        <f t="shared" si="26"/>
        <v>0.60977615129614604</v>
      </c>
      <c r="E22" s="270">
        <f t="shared" si="26"/>
        <v>0.61789830508474575</v>
      </c>
      <c r="F22" s="270">
        <f t="shared" si="26"/>
        <v>0.62232391463487036</v>
      </c>
      <c r="G22" s="270">
        <f t="shared" si="26"/>
        <v>0.70288027694936339</v>
      </c>
      <c r="H22" s="270">
        <f t="shared" si="26"/>
        <v>0.66943058528068244</v>
      </c>
      <c r="I22" s="270">
        <f t="shared" si="26"/>
        <v>0.49885719085575858</v>
      </c>
      <c r="J22" s="270">
        <f t="shared" si="26"/>
        <v>0.14928538975623856</v>
      </c>
      <c r="K22" s="270">
        <f t="shared" si="26"/>
        <v>3.0862725522053814E-3</v>
      </c>
      <c r="L22" s="270">
        <f t="shared" si="26"/>
        <v>0.12150843250457471</v>
      </c>
      <c r="M22" s="270">
        <f t="shared" si="26"/>
        <v>0.52339156168995393</v>
      </c>
      <c r="N22" s="271">
        <f t="shared" si="26"/>
        <v>0.46124022008611004</v>
      </c>
      <c r="P22" s="64"/>
      <c r="Q22" s="62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55"/>
    </row>
    <row r="23" spans="1:33" ht="15" customHeight="1" x14ac:dyDescent="0.3">
      <c r="P23" s="64"/>
      <c r="Q23" s="62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55"/>
    </row>
    <row r="24" spans="1:33" ht="15" customHeight="1" thickBot="1" x14ac:dyDescent="0.35">
      <c r="A24" s="71" t="s">
        <v>62</v>
      </c>
      <c r="C24" s="13" t="s">
        <v>71</v>
      </c>
      <c r="F24" s="195">
        <v>40179</v>
      </c>
      <c r="O24" s="71" t="s">
        <v>62</v>
      </c>
      <c r="P24" s="64"/>
      <c r="Q24" s="62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55"/>
    </row>
    <row r="25" spans="1:33" ht="15" customHeight="1" thickBot="1" x14ac:dyDescent="0.35">
      <c r="C25" s="60" t="s">
        <v>3</v>
      </c>
      <c r="D25" s="38" t="s">
        <v>4</v>
      </c>
      <c r="E25" s="38" t="s">
        <v>5</v>
      </c>
      <c r="F25" s="38" t="s">
        <v>6</v>
      </c>
      <c r="G25" s="38" t="s">
        <v>7</v>
      </c>
      <c r="H25" s="38" t="s">
        <v>8</v>
      </c>
      <c r="I25" s="38" t="s">
        <v>13</v>
      </c>
      <c r="J25" s="38" t="s">
        <v>9</v>
      </c>
      <c r="K25" s="38" t="s">
        <v>10</v>
      </c>
      <c r="L25" s="38" t="s">
        <v>11</v>
      </c>
      <c r="M25" s="38" t="s">
        <v>14</v>
      </c>
      <c r="N25" s="59" t="s">
        <v>12</v>
      </c>
      <c r="O25" s="186" t="s">
        <v>68</v>
      </c>
      <c r="P25" s="187" t="s">
        <v>69</v>
      </c>
      <c r="Q25" s="62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55"/>
    </row>
    <row r="26" spans="1:33" ht="15" customHeight="1" x14ac:dyDescent="0.35">
      <c r="A26" s="86">
        <v>1991</v>
      </c>
      <c r="B26" s="58" t="s">
        <v>45</v>
      </c>
      <c r="C26" s="79">
        <f>+'Monthly Historical Flow-Gen'!B29</f>
        <v>839.65240384615379</v>
      </c>
      <c r="D26" s="80">
        <f>+'Monthly Historical Flow-Gen'!C29</f>
        <v>982.81730769230762</v>
      </c>
      <c r="E26" s="80">
        <f>+'Monthly Historical Flow-Gen'!D29</f>
        <v>1245.375</v>
      </c>
      <c r="F26" s="80">
        <f>+'Monthly Historical Flow-Gen'!E29</f>
        <v>908.30769230769226</v>
      </c>
      <c r="G26" s="80">
        <f>+'Monthly Historical Flow-Gen'!F29</f>
        <v>764.43317307692303</v>
      </c>
      <c r="H26" s="80">
        <f>+'Monthly Historical Flow-Gen'!G29</f>
        <v>256.43725961538462</v>
      </c>
      <c r="I26" s="80">
        <f>+'Monthly Historical Flow-Gen'!H29</f>
        <v>158.95384615384614</v>
      </c>
      <c r="J26" s="80">
        <f>+'Monthly Historical Flow-Gen'!I29</f>
        <v>473.13605769230765</v>
      </c>
      <c r="K26" s="80">
        <f>+'Monthly Historical Flow-Gen'!J29</f>
        <v>483.07067307692307</v>
      </c>
      <c r="L26" s="80">
        <f>+'Monthly Historical Flow-Gen'!K29</f>
        <v>527.59903846153838</v>
      </c>
      <c r="M26" s="80">
        <f>+'Monthly Historical Flow-Gen'!L29</f>
        <v>1035.1514423076922</v>
      </c>
      <c r="N26" s="81">
        <f>+'Monthly Historical Flow-Gen'!M29</f>
        <v>949.99759615384608</v>
      </c>
      <c r="O26" s="86">
        <f>+A26</f>
        <v>1991</v>
      </c>
      <c r="P26" s="188"/>
      <c r="Q26" s="62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55"/>
    </row>
    <row r="27" spans="1:33" ht="15" customHeight="1" x14ac:dyDescent="0.35">
      <c r="A27" s="124"/>
      <c r="B27" s="48" t="s">
        <v>43</v>
      </c>
      <c r="C27" s="47">
        <f>IF(C26&gt;$O27,$O27,C26)</f>
        <v>839.65240384615379</v>
      </c>
      <c r="D27" s="46">
        <f t="shared" ref="D27" si="27">IF(D26&gt;$O27,$O27,D26)</f>
        <v>927.14285714285722</v>
      </c>
      <c r="E27" s="46">
        <f t="shared" ref="E27" si="28">IF(E26&gt;$O27,$O27,E26)</f>
        <v>927.14285714285722</v>
      </c>
      <c r="F27" s="46">
        <f t="shared" ref="F27" si="29">IF(F26&gt;$O27,$O27,F26)</f>
        <v>908.30769230769226</v>
      </c>
      <c r="G27" s="46">
        <f t="shared" ref="G27" si="30">IF(G26&gt;$O27,$O27,G26)</f>
        <v>764.43317307692303</v>
      </c>
      <c r="H27" s="46">
        <f t="shared" ref="H27" si="31">IF(H26&gt;$O27,$O27,H26)</f>
        <v>256.43725961538462</v>
      </c>
      <c r="I27" s="46">
        <f t="shared" ref="I27" si="32">IF(I26&gt;$O27,$O27,I26)</f>
        <v>158.95384615384614</v>
      </c>
      <c r="J27" s="46">
        <f t="shared" ref="J27" si="33">IF(J26&gt;$O27,$O27,J26)</f>
        <v>473.13605769230765</v>
      </c>
      <c r="K27" s="46">
        <f t="shared" ref="K27" si="34">IF(K26&gt;$O27,$O27,K26)</f>
        <v>483.07067307692307</v>
      </c>
      <c r="L27" s="46">
        <f t="shared" ref="L27" si="35">IF(L26&gt;$O27,$O27,L26)</f>
        <v>527.59903846153838</v>
      </c>
      <c r="M27" s="46">
        <f t="shared" ref="M27" si="36">IF(M26&gt;$O27,$O27,M26)</f>
        <v>927.14285714285722</v>
      </c>
      <c r="N27" s="45">
        <f t="shared" ref="N27" si="37">IF(N26&gt;$O27,$O27,N26)</f>
        <v>927.14285714285722</v>
      </c>
      <c r="O27" s="185">
        <f>IF(P27="Pre",'cfs limit calculation'!$E$6,'cfs limit calculation'!$E$11)</f>
        <v>927.14285714285722</v>
      </c>
      <c r="P27" s="190" t="s">
        <v>53</v>
      </c>
      <c r="Q27" s="62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55"/>
    </row>
    <row r="28" spans="1:33" ht="15" customHeight="1" x14ac:dyDescent="0.35">
      <c r="A28" s="85"/>
      <c r="B28" s="8" t="s">
        <v>44</v>
      </c>
      <c r="C28" s="47">
        <f>+'Monthly Historical Flow-Gen'!B55</f>
        <v>511.7</v>
      </c>
      <c r="D28" s="46">
        <f>+'Monthly Historical Flow-Gen'!C55</f>
        <v>872.2</v>
      </c>
      <c r="E28" s="46">
        <f>+'Monthly Historical Flow-Gen'!D55</f>
        <v>651</v>
      </c>
      <c r="F28" s="46">
        <f>+'Monthly Historical Flow-Gen'!E55</f>
        <v>553.70000000000005</v>
      </c>
      <c r="G28" s="46">
        <f>+'Monthly Historical Flow-Gen'!F55</f>
        <v>504.7</v>
      </c>
      <c r="H28" s="46">
        <f>+'Monthly Historical Flow-Gen'!G55</f>
        <v>28</v>
      </c>
      <c r="I28" s="46">
        <f>+'Monthly Historical Flow-Gen'!H55</f>
        <v>7</v>
      </c>
      <c r="J28" s="46">
        <f>+'Monthly Historical Flow-Gen'!I55</f>
        <v>56</v>
      </c>
      <c r="K28" s="46">
        <f>+'Monthly Historical Flow-Gen'!J55</f>
        <v>225.4</v>
      </c>
      <c r="L28" s="46">
        <f>+'Monthly Historical Flow-Gen'!K55</f>
        <v>355.6</v>
      </c>
      <c r="M28" s="46">
        <f>+'Monthly Historical Flow-Gen'!L55</f>
        <v>358.4</v>
      </c>
      <c r="N28" s="45">
        <f>+'Monthly Historical Flow-Gen'!M55</f>
        <v>630</v>
      </c>
      <c r="O28" s="85"/>
      <c r="P28" s="189"/>
      <c r="Q28" s="62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55"/>
    </row>
    <row r="29" spans="1:33" ht="15" customHeight="1" x14ac:dyDescent="0.35">
      <c r="B29" s="22" t="s">
        <v>67</v>
      </c>
      <c r="C29" s="47">
        <f>IF($P27="Pre",IF('cfs limit calculation'!B$17&gt;Calculations!C28,Calculations!C28,'cfs limit calculation'!B$17),IF('cfs limit calculation'!B$19&gt;Calculations!C28,Calculations!C28,'cfs limit calculation'!B$19))</f>
        <v>511.7</v>
      </c>
      <c r="D29" s="46">
        <f>IF($P27="Pre",IF('cfs limit calculation'!C$17&gt;Calculations!D28,Calculations!D28,'cfs limit calculation'!C$17),IF('cfs limit calculation'!C$19&gt;Calculations!D28,Calculations!D28,'cfs limit calculation'!C$19))</f>
        <v>522.05999999999995</v>
      </c>
      <c r="E29" s="46">
        <f>IF($P27="Pre",IF('cfs limit calculation'!D$17&gt;Calculations!E28,Calculations!E28,'cfs limit calculation'!D$17),IF('cfs limit calculation'!D$19&gt;Calculations!E28,Calculations!E28,'cfs limit calculation'!D$19))</f>
        <v>572.88</v>
      </c>
      <c r="F29" s="46">
        <f>IF($P27="Pre",IF('cfs limit calculation'!E$17&gt;Calculations!F28,Calculations!F28,'cfs limit calculation'!E$17),IF('cfs limit calculation'!E$19&gt;Calculations!F28,Calculations!F28,'cfs limit calculation'!E$19))</f>
        <v>553.70000000000005</v>
      </c>
      <c r="G29" s="46">
        <f>IF($P27="Pre",IF('cfs limit calculation'!F$17&gt;Calculations!G28,Calculations!G28,'cfs limit calculation'!F$17),IF('cfs limit calculation'!F$19&gt;Calculations!G28,Calculations!G28,'cfs limit calculation'!F$19))</f>
        <v>504.7</v>
      </c>
      <c r="H29" s="46">
        <f>IF($P27="Pre",IF('cfs limit calculation'!G$17&gt;Calculations!H28,Calculations!H28,'cfs limit calculation'!G$17),IF('cfs limit calculation'!G$19&gt;Calculations!H28,Calculations!H28,'cfs limit calculation'!G$19))</f>
        <v>28</v>
      </c>
      <c r="I29" s="46">
        <f>IF($P27="Pre",IF('cfs limit calculation'!H$17&gt;Calculations!I28,Calculations!I28,'cfs limit calculation'!H$17),IF('cfs limit calculation'!H$19&gt;Calculations!I28,Calculations!I28,'cfs limit calculation'!H$19))</f>
        <v>7</v>
      </c>
      <c r="J29" s="46">
        <f>IF($P27="Pre",IF('cfs limit calculation'!I$17&gt;Calculations!J28,Calculations!J28,'cfs limit calculation'!I$17),IF('cfs limit calculation'!I$19&gt;Calculations!J28,Calculations!J28,'cfs limit calculation'!I$19))</f>
        <v>56</v>
      </c>
      <c r="K29" s="46">
        <f>IF($P27="Pre",IF('cfs limit calculation'!J$17&gt;Calculations!K28,Calculations!K28,'cfs limit calculation'!J$17),IF('cfs limit calculation'!J$19&gt;Calculations!K28,Calculations!K28,'cfs limit calculation'!J$19))</f>
        <v>225.4</v>
      </c>
      <c r="L29" s="46">
        <f>IF($P27="Pre",IF('cfs limit calculation'!K$17&gt;Calculations!L28,Calculations!L28,'cfs limit calculation'!K$17),IF('cfs limit calculation'!K$19&gt;Calculations!L28,Calculations!L28,'cfs limit calculation'!K$19))</f>
        <v>355.6</v>
      </c>
      <c r="M29" s="46">
        <f>IF($P27="Pre",IF('cfs limit calculation'!L$17&gt;Calculations!M28,Calculations!M28,'cfs limit calculation'!L$17),IF('cfs limit calculation'!L$19&gt;Calculations!M28,Calculations!M28,'cfs limit calculation'!L$19))</f>
        <v>358.4</v>
      </c>
      <c r="N29" s="45">
        <f>IF($P27="Pre",IF('cfs limit calculation'!M$17&gt;Calculations!N28,Calculations!N28,'cfs limit calculation'!M$17),IF('cfs limit calculation'!M$19&gt;Calculations!N28,Calculations!N28,'cfs limit calculation'!M$19))</f>
        <v>572.88</v>
      </c>
      <c r="O29" s="65"/>
      <c r="P29" s="48"/>
      <c r="Q29" s="62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55"/>
    </row>
    <row r="30" spans="1:33" ht="15" customHeight="1" thickBot="1" x14ac:dyDescent="0.4">
      <c r="A30" s="78"/>
      <c r="B30" s="50" t="s">
        <v>42</v>
      </c>
      <c r="C30" s="265">
        <f t="shared" ref="C30:N30" si="38">+C29/C27</f>
        <v>0.60941884719924744</v>
      </c>
      <c r="D30" s="266">
        <f t="shared" si="38"/>
        <v>0.56308474576271172</v>
      </c>
      <c r="E30" s="266">
        <f t="shared" si="38"/>
        <v>0.61789830508474575</v>
      </c>
      <c r="F30" s="266">
        <f t="shared" si="38"/>
        <v>0.60959518970189708</v>
      </c>
      <c r="G30" s="266">
        <f t="shared" si="38"/>
        <v>0.6602277579981648</v>
      </c>
      <c r="H30" s="266">
        <f t="shared" si="38"/>
        <v>0.10918850108597938</v>
      </c>
      <c r="I30" s="266">
        <f t="shared" si="38"/>
        <v>4.4037940379403798E-2</v>
      </c>
      <c r="J30" s="266">
        <f t="shared" si="38"/>
        <v>0.11835918884123225</v>
      </c>
      <c r="K30" s="266">
        <f t="shared" si="38"/>
        <v>0.46659839349036164</v>
      </c>
      <c r="L30" s="266">
        <f t="shared" si="38"/>
        <v>0.6739966794422485</v>
      </c>
      <c r="M30" s="266">
        <f t="shared" si="38"/>
        <v>0.38656394453004617</v>
      </c>
      <c r="N30" s="267">
        <f t="shared" si="38"/>
        <v>0.61789830508474575</v>
      </c>
      <c r="O30" s="78"/>
      <c r="P30" s="191"/>
      <c r="Q30" s="62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55"/>
    </row>
    <row r="31" spans="1:33" ht="15" customHeight="1" x14ac:dyDescent="0.35">
      <c r="A31" s="85">
        <v>1992</v>
      </c>
      <c r="B31" s="58" t="s">
        <v>45</v>
      </c>
      <c r="C31" s="47">
        <f>+'Monthly Historical Flow-Gen'!B30</f>
        <v>882.051923076923</v>
      </c>
      <c r="D31" s="46">
        <f>+'Monthly Historical Flow-Gen'!C30</f>
        <v>656.03942307692307</v>
      </c>
      <c r="E31" s="46">
        <f>+'Monthly Historical Flow-Gen'!D30</f>
        <v>941.12740384615381</v>
      </c>
      <c r="F31" s="46">
        <f>+'Monthly Historical Flow-Gen'!E30</f>
        <v>965.96394230769226</v>
      </c>
      <c r="G31" s="46">
        <f>+'Monthly Historical Flow-Gen'!F30</f>
        <v>552.16947115384608</v>
      </c>
      <c r="H31" s="46">
        <f>+'Monthly Historical Flow-Gen'!G30</f>
        <v>637.85552884615379</v>
      </c>
      <c r="I31" s="46">
        <f>+'Monthly Historical Flow-Gen'!H30</f>
        <v>217.49711538461537</v>
      </c>
      <c r="J31" s="46">
        <f>+'Monthly Historical Flow-Gen'!I30</f>
        <v>375.12043269230765</v>
      </c>
      <c r="K31" s="46">
        <f>+'Monthly Historical Flow-Gen'!J30</f>
        <v>226.81081730769228</v>
      </c>
      <c r="L31" s="46">
        <f>+'Monthly Historical Flow-Gen'!K30</f>
        <v>240.47091346153846</v>
      </c>
      <c r="M31" s="46">
        <f>+'Monthly Historical Flow-Gen'!L30</f>
        <v>573.99014423076926</v>
      </c>
      <c r="N31" s="45">
        <f>+'Monthly Historical Flow-Gen'!M30</f>
        <v>1366.8966346153845</v>
      </c>
      <c r="O31" s="85">
        <f>+A31</f>
        <v>1992</v>
      </c>
      <c r="P31" s="189"/>
      <c r="Q31" s="62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55"/>
    </row>
    <row r="32" spans="1:33" ht="15" customHeight="1" x14ac:dyDescent="0.35">
      <c r="A32" s="65"/>
      <c r="B32" s="48" t="s">
        <v>43</v>
      </c>
      <c r="C32" s="47">
        <f>IF(C31&gt;$O32,$O32,C31)</f>
        <v>882.051923076923</v>
      </c>
      <c r="D32" s="46">
        <f t="shared" ref="D32" si="39">IF(D31&gt;$O32,$O32,D31)</f>
        <v>656.03942307692307</v>
      </c>
      <c r="E32" s="46">
        <f t="shared" ref="E32" si="40">IF(E31&gt;$O32,$O32,E31)</f>
        <v>927.14285714285722</v>
      </c>
      <c r="F32" s="46">
        <f t="shared" ref="F32" si="41">IF(F31&gt;$O32,$O32,F31)</f>
        <v>927.14285714285722</v>
      </c>
      <c r="G32" s="46">
        <f t="shared" ref="G32" si="42">IF(G31&gt;$O32,$O32,G31)</f>
        <v>552.16947115384608</v>
      </c>
      <c r="H32" s="46">
        <f t="shared" ref="H32" si="43">IF(H31&gt;$O32,$O32,H31)</f>
        <v>637.85552884615379</v>
      </c>
      <c r="I32" s="46">
        <f t="shared" ref="I32" si="44">IF(I31&gt;$O32,$O32,I31)</f>
        <v>217.49711538461537</v>
      </c>
      <c r="J32" s="46">
        <f t="shared" ref="J32" si="45">IF(J31&gt;$O32,$O32,J31)</f>
        <v>375.12043269230765</v>
      </c>
      <c r="K32" s="46">
        <f t="shared" ref="K32" si="46">IF(K31&gt;$O32,$O32,K31)</f>
        <v>226.81081730769228</v>
      </c>
      <c r="L32" s="46">
        <f t="shared" ref="L32" si="47">IF(L31&gt;$O32,$O32,L31)</f>
        <v>240.47091346153846</v>
      </c>
      <c r="M32" s="46">
        <f t="shared" ref="M32" si="48">IF(M31&gt;$O32,$O32,M31)</f>
        <v>573.99014423076926</v>
      </c>
      <c r="N32" s="45">
        <f t="shared" ref="N32" si="49">IF(N31&gt;$O32,$O32,N31)</f>
        <v>927.14285714285722</v>
      </c>
      <c r="O32" s="185">
        <f>IF(P32="Pre",'cfs limit calculation'!$E$6,'cfs limit calculation'!$E$11)</f>
        <v>927.14285714285722</v>
      </c>
      <c r="P32" s="190" t="str">
        <f>+P27</f>
        <v>Pre</v>
      </c>
      <c r="Q32" s="62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55"/>
    </row>
    <row r="33" spans="1:33" ht="15" customHeight="1" x14ac:dyDescent="0.35">
      <c r="A33" s="85"/>
      <c r="B33" s="8" t="s">
        <v>44</v>
      </c>
      <c r="C33" s="47">
        <f>+'Monthly Historical Flow-Gen'!B56</f>
        <v>613.9</v>
      </c>
      <c r="D33" s="46">
        <f>+'Monthly Historical Flow-Gen'!C56</f>
        <v>461.3</v>
      </c>
      <c r="E33" s="46">
        <f>+'Monthly Historical Flow-Gen'!D56</f>
        <v>622.29999999999995</v>
      </c>
      <c r="F33" s="46">
        <f>+'Monthly Historical Flow-Gen'!E56</f>
        <v>648.20000000000005</v>
      </c>
      <c r="G33" s="46">
        <f>+'Monthly Historical Flow-Gen'!F56</f>
        <v>440.3</v>
      </c>
      <c r="H33" s="46">
        <f>+'Monthly Historical Flow-Gen'!G56</f>
        <v>427</v>
      </c>
      <c r="I33" s="46">
        <f>+'Monthly Historical Flow-Gen'!H56</f>
        <v>108.5</v>
      </c>
      <c r="J33" s="46">
        <f>+'Monthly Historical Flow-Gen'!I56</f>
        <v>56</v>
      </c>
      <c r="K33" s="46">
        <f>+'Monthly Historical Flow-Gen'!J56</f>
        <v>0.7</v>
      </c>
      <c r="L33" s="46">
        <f>+'Monthly Historical Flow-Gen'!K56</f>
        <v>26.6</v>
      </c>
      <c r="M33" s="46">
        <f>+'Monthly Historical Flow-Gen'!L56</f>
        <v>296.10000000000002</v>
      </c>
      <c r="N33" s="45">
        <f>+'Monthly Historical Flow-Gen'!M56</f>
        <v>523.4</v>
      </c>
      <c r="O33" s="85"/>
      <c r="P33" s="189"/>
      <c r="Q33" s="62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55"/>
    </row>
    <row r="34" spans="1:33" ht="15" customHeight="1" x14ac:dyDescent="0.35">
      <c r="B34" s="22" t="s">
        <v>67</v>
      </c>
      <c r="C34" s="47">
        <f>IF($P32="Pre",IF('cfs limit calculation'!B$17&gt;Calculations!C33,Calculations!C33,'cfs limit calculation'!B$17),IF('cfs limit calculation'!B$19&gt;Calculations!C33,Calculations!C33,'cfs limit calculation'!B$19))</f>
        <v>572.88</v>
      </c>
      <c r="D34" s="46">
        <f>IF($P32="Pre",IF('cfs limit calculation'!C$17&gt;Calculations!D33,Calculations!D33,'cfs limit calculation'!C$17),IF('cfs limit calculation'!C$19&gt;Calculations!D33,Calculations!D33,'cfs limit calculation'!C$19))</f>
        <v>461.3</v>
      </c>
      <c r="E34" s="46">
        <f>IF($P32="Pre",IF('cfs limit calculation'!D$17&gt;Calculations!E33,Calculations!E33,'cfs limit calculation'!D$17),IF('cfs limit calculation'!D$19&gt;Calculations!E33,Calculations!E33,'cfs limit calculation'!D$19))</f>
        <v>572.88</v>
      </c>
      <c r="F34" s="46">
        <f>IF($P32="Pre",IF('cfs limit calculation'!E$17&gt;Calculations!F33,Calculations!F33,'cfs limit calculation'!E$17),IF('cfs limit calculation'!E$19&gt;Calculations!F33,Calculations!F33,'cfs limit calculation'!E$19))</f>
        <v>554.4</v>
      </c>
      <c r="G34" s="46">
        <f>IF($P32="Pre",IF('cfs limit calculation'!F$17&gt;Calculations!G33,Calculations!G33,'cfs limit calculation'!F$17),IF('cfs limit calculation'!F$19&gt;Calculations!G33,Calculations!G33,'cfs limit calculation'!F$19))</f>
        <v>440.3</v>
      </c>
      <c r="H34" s="46">
        <f>IF($P32="Pre",IF('cfs limit calculation'!G$17&gt;Calculations!H33,Calculations!H33,'cfs limit calculation'!G$17),IF('cfs limit calculation'!G$19&gt;Calculations!H33,Calculations!H33,'cfs limit calculation'!G$19))</f>
        <v>427</v>
      </c>
      <c r="I34" s="46">
        <f>IF($P32="Pre",IF('cfs limit calculation'!H$17&gt;Calculations!I33,Calculations!I33,'cfs limit calculation'!H$17),IF('cfs limit calculation'!H$19&gt;Calculations!I33,Calculations!I33,'cfs limit calculation'!H$19))</f>
        <v>108.5</v>
      </c>
      <c r="J34" s="46">
        <f>IF($P32="Pre",IF('cfs limit calculation'!I$17&gt;Calculations!J33,Calculations!J33,'cfs limit calculation'!I$17),IF('cfs limit calculation'!I$19&gt;Calculations!J33,Calculations!J33,'cfs limit calculation'!I$19))</f>
        <v>56</v>
      </c>
      <c r="K34" s="46">
        <f>IF($P32="Pre",IF('cfs limit calculation'!J$17&gt;Calculations!K33,Calculations!K33,'cfs limit calculation'!J$17),IF('cfs limit calculation'!J$19&gt;Calculations!K33,Calculations!K33,'cfs limit calculation'!J$19))</f>
        <v>0.7</v>
      </c>
      <c r="L34" s="46">
        <f>IF($P32="Pre",IF('cfs limit calculation'!K$17&gt;Calculations!L33,Calculations!L33,'cfs limit calculation'!K$17),IF('cfs limit calculation'!K$19&gt;Calculations!L33,Calculations!L33,'cfs limit calculation'!K$19))</f>
        <v>26.6</v>
      </c>
      <c r="M34" s="46">
        <f>IF($P32="Pre",IF('cfs limit calculation'!L$17&gt;Calculations!M33,Calculations!M33,'cfs limit calculation'!L$17),IF('cfs limit calculation'!L$19&gt;Calculations!M33,Calculations!M33,'cfs limit calculation'!L$19))</f>
        <v>296.10000000000002</v>
      </c>
      <c r="N34" s="45">
        <f>IF($P32="Pre",IF('cfs limit calculation'!M$17&gt;Calculations!N33,Calculations!N33,'cfs limit calculation'!M$17),IF('cfs limit calculation'!M$19&gt;Calculations!N33,Calculations!N33,'cfs limit calculation'!M$19))</f>
        <v>523.4</v>
      </c>
      <c r="O34" s="85"/>
      <c r="P34" s="189"/>
      <c r="Q34" s="62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1:33" ht="15" customHeight="1" thickBot="1" x14ac:dyDescent="0.4">
      <c r="A35" s="78"/>
      <c r="B35" s="50" t="s">
        <v>42</v>
      </c>
      <c r="C35" s="265">
        <f t="shared" ref="C35:N35" si="50">+C34/C32</f>
        <v>0.64948557450176281</v>
      </c>
      <c r="D35" s="266">
        <f t="shared" si="50"/>
        <v>0.70315896236301467</v>
      </c>
      <c r="E35" s="266">
        <f t="shared" si="50"/>
        <v>0.61789830508474575</v>
      </c>
      <c r="F35" s="266">
        <f t="shared" si="50"/>
        <v>0.59796610169491515</v>
      </c>
      <c r="G35" s="266">
        <f t="shared" si="50"/>
        <v>0.7974001153666157</v>
      </c>
      <c r="H35" s="266">
        <f t="shared" si="50"/>
        <v>0.66943058528068256</v>
      </c>
      <c r="I35" s="266">
        <f t="shared" si="50"/>
        <v>0.49885719085575853</v>
      </c>
      <c r="J35" s="266">
        <f t="shared" si="50"/>
        <v>0.14928538975623856</v>
      </c>
      <c r="K35" s="266">
        <f t="shared" si="50"/>
        <v>3.0862725522053814E-3</v>
      </c>
      <c r="L35" s="266">
        <f t="shared" si="50"/>
        <v>0.11061628875233792</v>
      </c>
      <c r="M35" s="268">
        <f t="shared" si="50"/>
        <v>0.51586251606605082</v>
      </c>
      <c r="N35" s="267">
        <f t="shared" si="50"/>
        <v>0.56453004622496139</v>
      </c>
      <c r="O35" s="78"/>
      <c r="P35" s="191"/>
      <c r="Q35" s="62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</row>
    <row r="36" spans="1:33" ht="15" customHeight="1" x14ac:dyDescent="0.35">
      <c r="A36" s="85">
        <v>1993</v>
      </c>
      <c r="B36" s="58" t="s">
        <v>45</v>
      </c>
      <c r="C36" s="79">
        <f>+'Monthly Historical Flow-Gen'!B31</f>
        <v>1271.0985576923076</v>
      </c>
      <c r="D36" s="80">
        <f>+'Monthly Historical Flow-Gen'!C31</f>
        <v>799.73653846153843</v>
      </c>
      <c r="E36" s="80">
        <f>+'Monthly Historical Flow-Gen'!D31</f>
        <v>1415.6826923076922</v>
      </c>
      <c r="F36" s="80">
        <f>+'Monthly Historical Flow-Gen'!E31</f>
        <v>2092.4783653846152</v>
      </c>
      <c r="G36" s="80">
        <f>+'Monthly Historical Flow-Gen'!F31</f>
        <v>568.66802884615379</v>
      </c>
      <c r="H36" s="80">
        <f>+'Monthly Historical Flow-Gen'!G31</f>
        <v>243.13197115384617</v>
      </c>
      <c r="I36" s="80">
        <f>+'Monthly Historical Flow-Gen'!H31</f>
        <v>134.47211538461536</v>
      </c>
      <c r="J36" s="80">
        <f>+'Monthly Historical Flow-Gen'!I31</f>
        <v>89.855048076923069</v>
      </c>
      <c r="K36" s="80">
        <f>+'Monthly Historical Flow-Gen'!J31</f>
        <v>181.30673076923077</v>
      </c>
      <c r="L36" s="80">
        <f>+'Monthly Historical Flow-Gen'!K31</f>
        <v>224.1497596153846</v>
      </c>
      <c r="M36" s="80">
        <f>+'Monthly Historical Flow-Gen'!L31</f>
        <v>421.33413461538458</v>
      </c>
      <c r="N36" s="81">
        <f>+'Monthly Historical Flow-Gen'!M31</f>
        <v>1138.0456730769231</v>
      </c>
      <c r="O36" s="85">
        <f>+A36</f>
        <v>1993</v>
      </c>
      <c r="P36" s="189"/>
      <c r="Q36" s="62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1:33" ht="15" customHeight="1" x14ac:dyDescent="0.35">
      <c r="A37" s="65"/>
      <c r="B37" s="48" t="s">
        <v>43</v>
      </c>
      <c r="C37" s="47">
        <f>IF(C36&gt;$O37,$O37,C36)</f>
        <v>927.14285714285722</v>
      </c>
      <c r="D37" s="46">
        <f t="shared" ref="D37" si="51">IF(D36&gt;$O37,$O37,D36)</f>
        <v>799.73653846153843</v>
      </c>
      <c r="E37" s="46">
        <f t="shared" ref="E37" si="52">IF(E36&gt;$O37,$O37,E36)</f>
        <v>927.14285714285722</v>
      </c>
      <c r="F37" s="46">
        <f t="shared" ref="F37" si="53">IF(F36&gt;$O37,$O37,F36)</f>
        <v>927.14285714285722</v>
      </c>
      <c r="G37" s="46">
        <f t="shared" ref="G37" si="54">IF(G36&gt;$O37,$O37,G36)</f>
        <v>568.66802884615379</v>
      </c>
      <c r="H37" s="46">
        <f t="shared" ref="H37" si="55">IF(H36&gt;$O37,$O37,H36)</f>
        <v>243.13197115384617</v>
      </c>
      <c r="I37" s="46">
        <f t="shared" ref="I37" si="56">IF(I36&gt;$O37,$O37,I36)</f>
        <v>134.47211538461536</v>
      </c>
      <c r="J37" s="46">
        <f t="shared" ref="J37" si="57">IF(J36&gt;$O37,$O37,J36)</f>
        <v>89.855048076923069</v>
      </c>
      <c r="K37" s="46">
        <f t="shared" ref="K37" si="58">IF(K36&gt;$O37,$O37,K36)</f>
        <v>181.30673076923077</v>
      </c>
      <c r="L37" s="46">
        <f t="shared" ref="L37" si="59">IF(L36&gt;$O37,$O37,L36)</f>
        <v>224.1497596153846</v>
      </c>
      <c r="M37" s="46">
        <f t="shared" ref="M37" si="60">IF(M36&gt;$O37,$O37,M36)</f>
        <v>421.33413461538458</v>
      </c>
      <c r="N37" s="45">
        <f t="shared" ref="N37" si="61">IF(N36&gt;$O37,$O37,N36)</f>
        <v>927.14285714285722</v>
      </c>
      <c r="O37" s="185">
        <f>IF(P37="Pre",'cfs limit calculation'!$E$6,'cfs limit calculation'!$E$11)</f>
        <v>927.14285714285722</v>
      </c>
      <c r="P37" s="190" t="str">
        <f>+P32</f>
        <v>Pre</v>
      </c>
      <c r="Q37" s="62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</row>
    <row r="38" spans="1:33" ht="15" customHeight="1" x14ac:dyDescent="0.35">
      <c r="A38" s="85"/>
      <c r="B38" s="8" t="s">
        <v>44</v>
      </c>
      <c r="C38" s="47">
        <f>+'Monthly Historical Flow-Gen'!B57</f>
        <v>640.5</v>
      </c>
      <c r="D38" s="46">
        <f>+'Monthly Historical Flow-Gen'!C57</f>
        <v>547.4</v>
      </c>
      <c r="E38" s="46">
        <f>+'Monthly Historical Flow-Gen'!D57</f>
        <v>603.4</v>
      </c>
      <c r="F38" s="46">
        <f>+'Monthly Historical Flow-Gen'!E57</f>
        <v>655.20000000000005</v>
      </c>
      <c r="G38" s="46">
        <f>+'Monthly Historical Flow-Gen'!F57</f>
        <v>420.7</v>
      </c>
      <c r="H38" s="46">
        <f>+'Monthly Historical Flow-Gen'!G57</f>
        <v>98.7</v>
      </c>
      <c r="I38" s="46">
        <f>+'Monthly Historical Flow-Gen'!H57</f>
        <v>0.7</v>
      </c>
      <c r="J38" s="46">
        <f>+'Monthly Historical Flow-Gen'!I57</f>
        <v>0</v>
      </c>
      <c r="K38" s="46">
        <f>+'Monthly Historical Flow-Gen'!J57</f>
        <v>42.7</v>
      </c>
      <c r="L38" s="46">
        <f>+'Monthly Historical Flow-Gen'!K57</f>
        <v>108.5</v>
      </c>
      <c r="M38" s="46">
        <f>+'Monthly Historical Flow-Gen'!L57</f>
        <v>252.7</v>
      </c>
      <c r="N38" s="45">
        <f>+'Monthly Historical Flow-Gen'!M57</f>
        <v>536.20000000000005</v>
      </c>
      <c r="O38" s="85"/>
      <c r="P38" s="189"/>
      <c r="Q38" s="62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</row>
    <row r="39" spans="1:33" ht="15" customHeight="1" x14ac:dyDescent="0.35">
      <c r="B39" s="22" t="s">
        <v>67</v>
      </c>
      <c r="C39" s="47">
        <f>IF($P37="Pre",IF('cfs limit calculation'!B$17&gt;Calculations!C38,Calculations!C38,'cfs limit calculation'!B$17),IF('cfs limit calculation'!B$19&gt;Calculations!C38,Calculations!C38,'cfs limit calculation'!B$19))</f>
        <v>572.88</v>
      </c>
      <c r="D39" s="46">
        <f>IF($P37="Pre",IF('cfs limit calculation'!C$17&gt;Calculations!D38,Calculations!D38,'cfs limit calculation'!C$17),IF('cfs limit calculation'!C$19&gt;Calculations!D38,Calculations!D38,'cfs limit calculation'!C$19))</f>
        <v>522.05999999999995</v>
      </c>
      <c r="E39" s="46">
        <f>IF($P37="Pre",IF('cfs limit calculation'!D$17&gt;Calculations!E38,Calculations!E38,'cfs limit calculation'!D$17),IF('cfs limit calculation'!D$19&gt;Calculations!E38,Calculations!E38,'cfs limit calculation'!D$19))</f>
        <v>572.88</v>
      </c>
      <c r="F39" s="46">
        <f>IF($P37="Pre",IF('cfs limit calculation'!E$17&gt;Calculations!F38,Calculations!F38,'cfs limit calculation'!E$17),IF('cfs limit calculation'!E$19&gt;Calculations!F38,Calculations!F38,'cfs limit calculation'!E$19))</f>
        <v>554.4</v>
      </c>
      <c r="G39" s="46">
        <f>IF($P37="Pre",IF('cfs limit calculation'!F$17&gt;Calculations!G38,Calculations!G38,'cfs limit calculation'!F$17),IF('cfs limit calculation'!F$19&gt;Calculations!G38,Calculations!G38,'cfs limit calculation'!F$19))</f>
        <v>420.7</v>
      </c>
      <c r="H39" s="46">
        <f>IF($P37="Pre",IF('cfs limit calculation'!G$17&gt;Calculations!H38,Calculations!H38,'cfs limit calculation'!G$17),IF('cfs limit calculation'!G$19&gt;Calculations!H38,Calculations!H38,'cfs limit calculation'!G$19))</f>
        <v>98.7</v>
      </c>
      <c r="I39" s="46">
        <f>IF($P37="Pre",IF('cfs limit calculation'!H$17&gt;Calculations!I38,Calculations!I38,'cfs limit calculation'!H$17),IF('cfs limit calculation'!H$19&gt;Calculations!I38,Calculations!I38,'cfs limit calculation'!H$19))</f>
        <v>0.7</v>
      </c>
      <c r="J39" s="46">
        <f>IF($P37="Pre",IF('cfs limit calculation'!I$17&gt;Calculations!J38,Calculations!J38,'cfs limit calculation'!I$17),IF('cfs limit calculation'!I$19&gt;Calculations!J38,Calculations!J38,'cfs limit calculation'!I$19))</f>
        <v>0</v>
      </c>
      <c r="K39" s="46">
        <f>IF($P37="Pre",IF('cfs limit calculation'!J$17&gt;Calculations!K38,Calculations!K38,'cfs limit calculation'!J$17),IF('cfs limit calculation'!J$19&gt;Calculations!K38,Calculations!K38,'cfs limit calculation'!J$19))</f>
        <v>42.7</v>
      </c>
      <c r="L39" s="46">
        <f>IF($P37="Pre",IF('cfs limit calculation'!K$17&gt;Calculations!L38,Calculations!L38,'cfs limit calculation'!K$17),IF('cfs limit calculation'!K$19&gt;Calculations!L38,Calculations!L38,'cfs limit calculation'!K$19))</f>
        <v>108.5</v>
      </c>
      <c r="M39" s="46">
        <f>IF($P37="Pre",IF('cfs limit calculation'!L$17&gt;Calculations!M38,Calculations!M38,'cfs limit calculation'!L$17),IF('cfs limit calculation'!L$19&gt;Calculations!M38,Calculations!M38,'cfs limit calculation'!L$19))</f>
        <v>252.7</v>
      </c>
      <c r="N39" s="45">
        <f>IF($P37="Pre",IF('cfs limit calculation'!M$17&gt;Calculations!N38,Calculations!N38,'cfs limit calculation'!M$17),IF('cfs limit calculation'!M$19&gt;Calculations!N38,Calculations!N38,'cfs limit calculation'!M$19))</f>
        <v>536.20000000000005</v>
      </c>
      <c r="O39" s="85"/>
      <c r="P39" s="189"/>
      <c r="Q39" s="62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1:33" ht="15" customHeight="1" thickBot="1" x14ac:dyDescent="0.4">
      <c r="A40" s="78"/>
      <c r="B40" s="50" t="s">
        <v>42</v>
      </c>
      <c r="C40" s="265">
        <f t="shared" ref="C40:N40" si="62">+C39/C37</f>
        <v>0.61789830508474575</v>
      </c>
      <c r="D40" s="268">
        <f t="shared" si="62"/>
        <v>0.65278998131596222</v>
      </c>
      <c r="E40" s="266">
        <f t="shared" si="62"/>
        <v>0.61789830508474575</v>
      </c>
      <c r="F40" s="268">
        <f t="shared" si="62"/>
        <v>0.59796610169491515</v>
      </c>
      <c r="G40" s="266">
        <f t="shared" si="62"/>
        <v>0.73979893129144991</v>
      </c>
      <c r="H40" s="266">
        <f t="shared" si="62"/>
        <v>0.40595237035916509</v>
      </c>
      <c r="I40" s="266">
        <f t="shared" si="62"/>
        <v>5.2055401820508976E-3</v>
      </c>
      <c r="J40" s="266">
        <f t="shared" si="62"/>
        <v>0</v>
      </c>
      <c r="K40" s="266">
        <f t="shared" si="62"/>
        <v>0.23551249211122249</v>
      </c>
      <c r="L40" s="266">
        <f t="shared" si="62"/>
        <v>0.48405137790990105</v>
      </c>
      <c r="M40" s="266">
        <f t="shared" si="62"/>
        <v>0.59976151761517615</v>
      </c>
      <c r="N40" s="267">
        <f t="shared" si="62"/>
        <v>0.57833590138674884</v>
      </c>
      <c r="O40" s="78"/>
      <c r="P40" s="191"/>
      <c r="Q40" s="62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</row>
    <row r="41" spans="1:33" ht="15" customHeight="1" x14ac:dyDescent="0.35">
      <c r="A41" s="86">
        <v>1994</v>
      </c>
      <c r="B41" s="58" t="s">
        <v>45</v>
      </c>
      <c r="C41" s="75">
        <f>+'Monthly Historical Flow-Gen'!B32</f>
        <v>895.88942307692298</v>
      </c>
      <c r="D41" s="31">
        <f>+'Monthly Historical Flow-Gen'!C32</f>
        <v>863.15841346153843</v>
      </c>
      <c r="E41" s="31">
        <f>+'Monthly Historical Flow-Gen'!D32</f>
        <v>2137.7163461538462</v>
      </c>
      <c r="F41" s="31">
        <f>+'Monthly Historical Flow-Gen'!E32</f>
        <v>1305.6923076923076</v>
      </c>
      <c r="G41" s="31">
        <f>+'Monthly Historical Flow-Gen'!F32</f>
        <v>791.57596153846146</v>
      </c>
      <c r="H41" s="31">
        <f>+'Monthly Historical Flow-Gen'!G32</f>
        <v>269.03293269230767</v>
      </c>
      <c r="I41" s="31">
        <f>+'Monthly Historical Flow-Gen'!H32</f>
        <v>178.46826923076921</v>
      </c>
      <c r="J41" s="31">
        <f>+'Monthly Historical Flow-Gen'!I32</f>
        <v>350.54999999999995</v>
      </c>
      <c r="K41" s="31">
        <f>+'Monthly Historical Flow-Gen'!J32</f>
        <v>322.25408653846154</v>
      </c>
      <c r="L41" s="31">
        <f>+'Monthly Historical Flow-Gen'!K32</f>
        <v>273.29062500000003</v>
      </c>
      <c r="M41" s="31">
        <f>+'Monthly Historical Flow-Gen'!L32</f>
        <v>509.59254807692304</v>
      </c>
      <c r="N41" s="36">
        <f>+'Monthly Historical Flow-Gen'!M32</f>
        <v>1134.4975961538462</v>
      </c>
      <c r="O41" s="86">
        <f>+A41</f>
        <v>1994</v>
      </c>
      <c r="P41" s="188"/>
      <c r="Q41" s="62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1:33" ht="15" customHeight="1" x14ac:dyDescent="0.35">
      <c r="A42" s="124"/>
      <c r="B42" s="48" t="s">
        <v>43</v>
      </c>
      <c r="C42" s="47">
        <f>IF(C41&gt;$O42,$O42,C41)</f>
        <v>895.88942307692298</v>
      </c>
      <c r="D42" s="46">
        <f t="shared" ref="D42" si="63">IF(D41&gt;$O42,$O42,D41)</f>
        <v>863.15841346153843</v>
      </c>
      <c r="E42" s="46">
        <f t="shared" ref="E42" si="64">IF(E41&gt;$O42,$O42,E41)</f>
        <v>927.14285714285722</v>
      </c>
      <c r="F42" s="46">
        <f t="shared" ref="F42" si="65">IF(F41&gt;$O42,$O42,F41)</f>
        <v>927.14285714285722</v>
      </c>
      <c r="G42" s="46">
        <f t="shared" ref="G42" si="66">IF(G41&gt;$O42,$O42,G41)</f>
        <v>791.57596153846146</v>
      </c>
      <c r="H42" s="46">
        <f t="shared" ref="H42" si="67">IF(H41&gt;$O42,$O42,H41)</f>
        <v>269.03293269230767</v>
      </c>
      <c r="I42" s="46">
        <f t="shared" ref="I42" si="68">IF(I41&gt;$O42,$O42,I41)</f>
        <v>178.46826923076921</v>
      </c>
      <c r="J42" s="46">
        <f t="shared" ref="J42" si="69">IF(J41&gt;$O42,$O42,J41)</f>
        <v>350.54999999999995</v>
      </c>
      <c r="K42" s="46">
        <f t="shared" ref="K42" si="70">IF(K41&gt;$O42,$O42,K41)</f>
        <v>322.25408653846154</v>
      </c>
      <c r="L42" s="46">
        <f t="shared" ref="L42" si="71">IF(L41&gt;$O42,$O42,L41)</f>
        <v>273.29062500000003</v>
      </c>
      <c r="M42" s="46">
        <f t="shared" ref="M42" si="72">IF(M41&gt;$O42,$O42,M41)</f>
        <v>509.59254807692304</v>
      </c>
      <c r="N42" s="45">
        <f t="shared" ref="N42" si="73">IF(N41&gt;$O42,$O42,N41)</f>
        <v>927.14285714285722</v>
      </c>
      <c r="O42" s="185">
        <f>IF(P42="Pre",'cfs limit calculation'!$E$6,'cfs limit calculation'!$E$11)</f>
        <v>927.14285714285722</v>
      </c>
      <c r="P42" s="190" t="str">
        <f>+P37</f>
        <v>Pre</v>
      </c>
      <c r="Q42" s="62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</row>
    <row r="43" spans="1:33" ht="15" customHeight="1" x14ac:dyDescent="0.35">
      <c r="A43" s="85"/>
      <c r="B43" s="8" t="s">
        <v>44</v>
      </c>
      <c r="C43" s="47">
        <f>+'Monthly Historical Flow-Gen'!B58</f>
        <v>437.5</v>
      </c>
      <c r="D43" s="46">
        <f>+'Monthly Historical Flow-Gen'!C58</f>
        <v>424.2</v>
      </c>
      <c r="E43" s="46">
        <f>+'Monthly Historical Flow-Gen'!D58</f>
        <v>661.5</v>
      </c>
      <c r="F43" s="46">
        <f>+'Monthly Historical Flow-Gen'!E58</f>
        <v>645.4</v>
      </c>
      <c r="G43" s="46">
        <f>+'Monthly Historical Flow-Gen'!F58</f>
        <v>560</v>
      </c>
      <c r="H43" s="46">
        <f>+'Monthly Historical Flow-Gen'!G58</f>
        <v>133.69999999999999</v>
      </c>
      <c r="I43" s="46">
        <f>+'Monthly Historical Flow-Gen'!H58</f>
        <v>77.7</v>
      </c>
      <c r="J43" s="46">
        <f>+'Monthly Historical Flow-Gen'!I58</f>
        <v>4.2</v>
      </c>
      <c r="K43" s="46">
        <f>+'Monthly Historical Flow-Gen'!J58</f>
        <v>95.9</v>
      </c>
      <c r="L43" s="46">
        <f>+'Monthly Historical Flow-Gen'!K58</f>
        <v>107.1</v>
      </c>
      <c r="M43" s="46">
        <f>+'Monthly Historical Flow-Gen'!L58</f>
        <v>182.7</v>
      </c>
      <c r="N43" s="45">
        <f>+'Monthly Historical Flow-Gen'!M58</f>
        <v>314.3</v>
      </c>
      <c r="O43" s="85"/>
      <c r="P43" s="189"/>
      <c r="Q43" s="62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</row>
    <row r="44" spans="1:33" ht="15" customHeight="1" x14ac:dyDescent="0.35">
      <c r="B44" s="22" t="s">
        <v>67</v>
      </c>
      <c r="C44" s="47">
        <f>IF($P42="Pre",IF('cfs limit calculation'!B$17&gt;Calculations!C43,Calculations!C43,'cfs limit calculation'!B$17),IF('cfs limit calculation'!B$19&gt;Calculations!C43,Calculations!C43,'cfs limit calculation'!B$19))</f>
        <v>437.5</v>
      </c>
      <c r="D44" s="46">
        <f>IF($P42="Pre",IF('cfs limit calculation'!C$17&gt;Calculations!D43,Calculations!D43,'cfs limit calculation'!C$17),IF('cfs limit calculation'!C$19&gt;Calculations!D43,Calculations!D43,'cfs limit calculation'!C$19))</f>
        <v>424.2</v>
      </c>
      <c r="E44" s="46">
        <f>IF($P42="Pre",IF('cfs limit calculation'!D$17&gt;Calculations!E43,Calculations!E43,'cfs limit calculation'!D$17),IF('cfs limit calculation'!D$19&gt;Calculations!E43,Calculations!E43,'cfs limit calculation'!D$19))</f>
        <v>572.88</v>
      </c>
      <c r="F44" s="46">
        <f>IF($P42="Pre",IF('cfs limit calculation'!E$17&gt;Calculations!F43,Calculations!F43,'cfs limit calculation'!E$17),IF('cfs limit calculation'!E$19&gt;Calculations!F43,Calculations!F43,'cfs limit calculation'!E$19))</f>
        <v>554.4</v>
      </c>
      <c r="G44" s="46">
        <f>IF($P42="Pre",IF('cfs limit calculation'!F$17&gt;Calculations!G43,Calculations!G43,'cfs limit calculation'!F$17),IF('cfs limit calculation'!F$19&gt;Calculations!G43,Calculations!G43,'cfs limit calculation'!F$19))</f>
        <v>560</v>
      </c>
      <c r="H44" s="46">
        <f>IF($P42="Pre",IF('cfs limit calculation'!G$17&gt;Calculations!H43,Calculations!H43,'cfs limit calculation'!G$17),IF('cfs limit calculation'!G$19&gt;Calculations!H43,Calculations!H43,'cfs limit calculation'!G$19))</f>
        <v>133.69999999999999</v>
      </c>
      <c r="I44" s="46">
        <f>IF($P42="Pre",IF('cfs limit calculation'!H$17&gt;Calculations!I43,Calculations!I43,'cfs limit calculation'!H$17),IF('cfs limit calculation'!H$19&gt;Calculations!I43,Calculations!I43,'cfs limit calculation'!H$19))</f>
        <v>77.7</v>
      </c>
      <c r="J44" s="46">
        <f>IF($P42="Pre",IF('cfs limit calculation'!I$17&gt;Calculations!J43,Calculations!J43,'cfs limit calculation'!I$17),IF('cfs limit calculation'!I$19&gt;Calculations!J43,Calculations!J43,'cfs limit calculation'!I$19))</f>
        <v>4.2</v>
      </c>
      <c r="K44" s="46">
        <f>IF($P42="Pre",IF('cfs limit calculation'!J$17&gt;Calculations!K43,Calculations!K43,'cfs limit calculation'!J$17),IF('cfs limit calculation'!J$19&gt;Calculations!K43,Calculations!K43,'cfs limit calculation'!J$19))</f>
        <v>95.9</v>
      </c>
      <c r="L44" s="46">
        <f>IF($P42="Pre",IF('cfs limit calculation'!K$17&gt;Calculations!L43,Calculations!L43,'cfs limit calculation'!K$17),IF('cfs limit calculation'!K$19&gt;Calculations!L43,Calculations!L43,'cfs limit calculation'!K$19))</f>
        <v>107.1</v>
      </c>
      <c r="M44" s="46">
        <f>IF($P42="Pre",IF('cfs limit calculation'!L$17&gt;Calculations!M43,Calculations!M43,'cfs limit calculation'!L$17),IF('cfs limit calculation'!L$19&gt;Calculations!M43,Calculations!M43,'cfs limit calculation'!L$19))</f>
        <v>182.7</v>
      </c>
      <c r="N44" s="45">
        <f>IF($P42="Pre",IF('cfs limit calculation'!M$17&gt;Calculations!N43,Calculations!N43,'cfs limit calculation'!M$17),IF('cfs limit calculation'!M$19&gt;Calculations!N43,Calculations!N43,'cfs limit calculation'!M$19))</f>
        <v>314.3</v>
      </c>
      <c r="O44" s="65"/>
      <c r="P44" s="48"/>
      <c r="Q44" s="62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33" ht="15" customHeight="1" thickBot="1" x14ac:dyDescent="0.4">
      <c r="A45" s="78"/>
      <c r="B45" s="50" t="s">
        <v>42</v>
      </c>
      <c r="C45" s="265">
        <f t="shared" ref="C45:N45" si="74">+C44/C42</f>
        <v>0.48834151707853718</v>
      </c>
      <c r="D45" s="266">
        <f t="shared" si="74"/>
        <v>0.49145092416909164</v>
      </c>
      <c r="E45" s="266">
        <f t="shared" si="74"/>
        <v>0.61789830508474575</v>
      </c>
      <c r="F45" s="266">
        <f t="shared" si="74"/>
        <v>0.59796610169491515</v>
      </c>
      <c r="G45" s="266">
        <f t="shared" si="74"/>
        <v>0.70744947700485528</v>
      </c>
      <c r="H45" s="266">
        <f t="shared" si="74"/>
        <v>0.4969651806640058</v>
      </c>
      <c r="I45" s="266">
        <f t="shared" si="74"/>
        <v>0.43537151077276187</v>
      </c>
      <c r="J45" s="266">
        <f t="shared" si="74"/>
        <v>1.1981172443303382E-2</v>
      </c>
      <c r="K45" s="266">
        <f t="shared" si="74"/>
        <v>0.29759126107638728</v>
      </c>
      <c r="L45" s="266">
        <f t="shared" si="74"/>
        <v>0.39189050118349278</v>
      </c>
      <c r="M45" s="266">
        <f t="shared" si="74"/>
        <v>0.35852172620942918</v>
      </c>
      <c r="N45" s="267">
        <f t="shared" si="74"/>
        <v>0.33899845916795068</v>
      </c>
      <c r="O45" s="78"/>
      <c r="P45" s="191"/>
      <c r="Q45" s="62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33" ht="15" customHeight="1" x14ac:dyDescent="0.35">
      <c r="A46" s="86">
        <v>1995</v>
      </c>
      <c r="B46" s="58" t="s">
        <v>45</v>
      </c>
      <c r="C46" s="47">
        <f>+'Monthly Historical Flow-Gen'!B33</f>
        <v>1264.0024038461538</v>
      </c>
      <c r="D46" s="80">
        <f>+'Monthly Historical Flow-Gen'!C33</f>
        <v>734.45192307692309</v>
      </c>
      <c r="E46" s="80">
        <f>+'Monthly Historical Flow-Gen'!D33</f>
        <v>998.78365384615381</v>
      </c>
      <c r="F46" s="80">
        <f>+'Monthly Historical Flow-Gen'!E33</f>
        <v>571.32908653846152</v>
      </c>
      <c r="G46" s="80">
        <f>+'Monthly Historical Flow-Gen'!F33</f>
        <v>455.57307692307694</v>
      </c>
      <c r="H46" s="80">
        <f>+'Monthly Historical Flow-Gen'!G33</f>
        <v>213.94903846153844</v>
      </c>
      <c r="I46" s="80">
        <f>+'Monthly Historical Flow-Gen'!H33</f>
        <v>128.08557692307693</v>
      </c>
      <c r="J46" s="80">
        <f>+'Monthly Historical Flow-Gen'!I33</f>
        <v>112.47403846153846</v>
      </c>
      <c r="K46" s="80">
        <f>+'Monthly Historical Flow-Gen'!J33</f>
        <v>94.290144230769229</v>
      </c>
      <c r="L46" s="80">
        <f>+'Monthly Historical Flow-Gen'!K33</f>
        <v>449.63004807692306</v>
      </c>
      <c r="M46" s="80">
        <f>+'Monthly Historical Flow-Gen'!L33</f>
        <v>967.73798076923072</v>
      </c>
      <c r="N46" s="81">
        <f>+'Monthly Historical Flow-Gen'!M33</f>
        <v>474.46658653846151</v>
      </c>
      <c r="O46" s="85">
        <f>+A46</f>
        <v>1995</v>
      </c>
      <c r="P46" s="189"/>
      <c r="Q46" s="62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</row>
    <row r="47" spans="1:33" ht="15" customHeight="1" x14ac:dyDescent="0.35">
      <c r="A47" s="124"/>
      <c r="B47" s="48" t="s">
        <v>43</v>
      </c>
      <c r="C47" s="47">
        <f>IF(C46&gt;$O47,$O47,C46)</f>
        <v>927.14285714285722</v>
      </c>
      <c r="D47" s="46">
        <f t="shared" ref="D47" si="75">IF(D46&gt;$O47,$O47,D46)</f>
        <v>734.45192307692309</v>
      </c>
      <c r="E47" s="46">
        <f t="shared" ref="E47" si="76">IF(E46&gt;$O47,$O47,E46)</f>
        <v>927.14285714285722</v>
      </c>
      <c r="F47" s="46">
        <f t="shared" ref="F47" si="77">IF(F46&gt;$O47,$O47,F46)</f>
        <v>571.32908653846152</v>
      </c>
      <c r="G47" s="46">
        <f t="shared" ref="G47" si="78">IF(G46&gt;$O47,$O47,G46)</f>
        <v>455.57307692307694</v>
      </c>
      <c r="H47" s="46">
        <f t="shared" ref="H47" si="79">IF(H46&gt;$O47,$O47,H46)</f>
        <v>213.94903846153844</v>
      </c>
      <c r="I47" s="46">
        <f t="shared" ref="I47" si="80">IF(I46&gt;$O47,$O47,I46)</f>
        <v>128.08557692307693</v>
      </c>
      <c r="J47" s="46">
        <f t="shared" ref="J47" si="81">IF(J46&gt;$O47,$O47,J46)</f>
        <v>112.47403846153846</v>
      </c>
      <c r="K47" s="46">
        <f t="shared" ref="K47" si="82">IF(K46&gt;$O47,$O47,K46)</f>
        <v>94.290144230769229</v>
      </c>
      <c r="L47" s="46">
        <f t="shared" ref="L47" si="83">IF(L46&gt;$O47,$O47,L46)</f>
        <v>449.63004807692306</v>
      </c>
      <c r="M47" s="46">
        <f t="shared" ref="M47" si="84">IF(M46&gt;$O47,$O47,M46)</f>
        <v>927.14285714285722</v>
      </c>
      <c r="N47" s="45">
        <f t="shared" ref="N47" si="85">IF(N46&gt;$O47,$O47,N46)</f>
        <v>474.46658653846151</v>
      </c>
      <c r="O47" s="185">
        <f>IF(P47="Pre",'cfs limit calculation'!$E$6,'cfs limit calculation'!$E$11)</f>
        <v>927.14285714285722</v>
      </c>
      <c r="P47" s="190" t="str">
        <f>+P42</f>
        <v>Pre</v>
      </c>
      <c r="Q47" s="62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</row>
    <row r="48" spans="1:33" ht="15" customHeight="1" x14ac:dyDescent="0.35">
      <c r="A48" s="85"/>
      <c r="B48" s="8" t="s">
        <v>44</v>
      </c>
      <c r="C48" s="47">
        <f>+'Monthly Historical Flow-Gen'!B59</f>
        <v>879.73401045856804</v>
      </c>
      <c r="D48" s="46">
        <f>+'Monthly Historical Flow-Gen'!C59</f>
        <v>516.43645213628986</v>
      </c>
      <c r="E48" s="46">
        <f>+'Monthly Historical Flow-Gen'!D59</f>
        <v>660.42393967954752</v>
      </c>
      <c r="F48" s="46">
        <f>+'Monthly Historical Flow-Gen'!E59</f>
        <v>383.38440771349866</v>
      </c>
      <c r="G48" s="46">
        <f>+'Monthly Historical Flow-Gen'!F59</f>
        <v>363.27402409638563</v>
      </c>
      <c r="H48" s="46">
        <f>+'Monthly Historical Flow-Gen'!G59</f>
        <v>143.22403003754692</v>
      </c>
      <c r="I48" s="46">
        <f>+'Monthly Historical Flow-Gen'!H59</f>
        <v>63.896411092985325</v>
      </c>
      <c r="J48" s="46">
        <f>+'Monthly Historical Flow-Gen'!I59</f>
        <v>16.790730669188935</v>
      </c>
      <c r="K48" s="46">
        <f>+'Monthly Historical Flow-Gen'!J59</f>
        <v>0.29100508408290965</v>
      </c>
      <c r="L48" s="46">
        <f>+'Monthly Historical Flow-Gen'!K59</f>
        <v>49.736407229804506</v>
      </c>
      <c r="M48" s="46">
        <f>+'Monthly Historical Flow-Gen'!L59</f>
        <v>499.21974965229487</v>
      </c>
      <c r="N48" s="45">
        <f>+'Monthly Historical Flow-Gen'!M59</f>
        <v>181.67855937702791</v>
      </c>
      <c r="O48" s="85"/>
      <c r="P48" s="189"/>
      <c r="Q48" s="62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</row>
    <row r="49" spans="1:33" ht="15" customHeight="1" x14ac:dyDescent="0.35">
      <c r="B49" s="22" t="s">
        <v>67</v>
      </c>
      <c r="C49" s="47">
        <f>IF($P47="Pre",IF('cfs limit calculation'!B$17&gt;Calculations!C48,Calculations!C48,'cfs limit calculation'!B$17),IF('cfs limit calculation'!B$19&gt;Calculations!C48,Calculations!C48,'cfs limit calculation'!B$19))</f>
        <v>572.88</v>
      </c>
      <c r="D49" s="46">
        <f>IF($P47="Pre",IF('cfs limit calculation'!C$17&gt;Calculations!D48,Calculations!D48,'cfs limit calculation'!C$17),IF('cfs limit calculation'!C$19&gt;Calculations!D48,Calculations!D48,'cfs limit calculation'!C$19))</f>
        <v>516.43645213628986</v>
      </c>
      <c r="E49" s="46">
        <f>IF($P47="Pre",IF('cfs limit calculation'!D$17&gt;Calculations!E48,Calculations!E48,'cfs limit calculation'!D$17),IF('cfs limit calculation'!D$19&gt;Calculations!E48,Calculations!E48,'cfs limit calculation'!D$19))</f>
        <v>572.88</v>
      </c>
      <c r="F49" s="46">
        <f>IF($P47="Pre",IF('cfs limit calculation'!E$17&gt;Calculations!F48,Calculations!F48,'cfs limit calculation'!E$17),IF('cfs limit calculation'!E$19&gt;Calculations!F48,Calculations!F48,'cfs limit calculation'!E$19))</f>
        <v>383.38440771349866</v>
      </c>
      <c r="G49" s="46">
        <f>IF($P47="Pre",IF('cfs limit calculation'!F$17&gt;Calculations!G48,Calculations!G48,'cfs limit calculation'!F$17),IF('cfs limit calculation'!F$19&gt;Calculations!G48,Calculations!G48,'cfs limit calculation'!F$19))</f>
        <v>363.27402409638563</v>
      </c>
      <c r="H49" s="46">
        <f>IF($P47="Pre",IF('cfs limit calculation'!G$17&gt;Calculations!H48,Calculations!H48,'cfs limit calculation'!G$17),IF('cfs limit calculation'!G$19&gt;Calculations!H48,Calculations!H48,'cfs limit calculation'!G$19))</f>
        <v>143.22403003754692</v>
      </c>
      <c r="I49" s="46">
        <f>IF($P47="Pre",IF('cfs limit calculation'!H$17&gt;Calculations!I48,Calculations!I48,'cfs limit calculation'!H$17),IF('cfs limit calculation'!H$19&gt;Calculations!I48,Calculations!I48,'cfs limit calculation'!H$19))</f>
        <v>63.896411092985325</v>
      </c>
      <c r="J49" s="46">
        <f>IF($P47="Pre",IF('cfs limit calculation'!I$17&gt;Calculations!J48,Calculations!J48,'cfs limit calculation'!I$17),IF('cfs limit calculation'!I$19&gt;Calculations!J48,Calculations!J48,'cfs limit calculation'!I$19))</f>
        <v>16.790730669188935</v>
      </c>
      <c r="K49" s="46">
        <f>IF($P47="Pre",IF('cfs limit calculation'!J$17&gt;Calculations!K48,Calculations!K48,'cfs limit calculation'!J$17),IF('cfs limit calculation'!J$19&gt;Calculations!K48,Calculations!K48,'cfs limit calculation'!J$19))</f>
        <v>0.29100508408290965</v>
      </c>
      <c r="L49" s="46">
        <f>IF($P47="Pre",IF('cfs limit calculation'!K$17&gt;Calculations!L48,Calculations!L48,'cfs limit calculation'!K$17),IF('cfs limit calculation'!K$19&gt;Calculations!L48,Calculations!L48,'cfs limit calculation'!K$19))</f>
        <v>49.736407229804506</v>
      </c>
      <c r="M49" s="46">
        <f>IF($P47="Pre",IF('cfs limit calculation'!L$17&gt;Calculations!M48,Calculations!M48,'cfs limit calculation'!L$17),IF('cfs limit calculation'!L$19&gt;Calculations!M48,Calculations!M48,'cfs limit calculation'!L$19))</f>
        <v>499.21974965229487</v>
      </c>
      <c r="N49" s="45">
        <f>IF($P47="Pre",IF('cfs limit calculation'!M$17&gt;Calculations!N48,Calculations!N48,'cfs limit calculation'!M$17),IF('cfs limit calculation'!M$19&gt;Calculations!N48,Calculations!N48,'cfs limit calculation'!M$19))</f>
        <v>181.67855937702791</v>
      </c>
      <c r="O49" s="85"/>
      <c r="P49" s="189"/>
      <c r="Q49" s="62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</row>
    <row r="50" spans="1:33" ht="15" customHeight="1" thickBot="1" x14ac:dyDescent="0.4">
      <c r="A50" s="78"/>
      <c r="B50" s="50" t="s">
        <v>42</v>
      </c>
      <c r="C50" s="265">
        <f t="shared" ref="C50:N50" si="86">+C49/C47</f>
        <v>0.61789830508474575</v>
      </c>
      <c r="D50" s="266">
        <f t="shared" si="86"/>
        <v>0.70315896236301456</v>
      </c>
      <c r="E50" s="266">
        <f t="shared" si="86"/>
        <v>0.61789830508474575</v>
      </c>
      <c r="F50" s="266">
        <f t="shared" si="86"/>
        <v>0.67103954051478076</v>
      </c>
      <c r="G50" s="266">
        <f t="shared" si="86"/>
        <v>0.7974001153666157</v>
      </c>
      <c r="H50" s="266">
        <f t="shared" si="86"/>
        <v>0.66943058528068244</v>
      </c>
      <c r="I50" s="266">
        <f t="shared" si="86"/>
        <v>0.49885719085575853</v>
      </c>
      <c r="J50" s="266">
        <f t="shared" si="86"/>
        <v>0.14928538975623856</v>
      </c>
      <c r="K50" s="266">
        <f t="shared" si="86"/>
        <v>3.0862725522053814E-3</v>
      </c>
      <c r="L50" s="266">
        <f t="shared" si="86"/>
        <v>0.11061628875233792</v>
      </c>
      <c r="M50" s="266">
        <f t="shared" si="86"/>
        <v>0.53844965293776026</v>
      </c>
      <c r="N50" s="267">
        <f t="shared" si="86"/>
        <v>0.38291117758679211</v>
      </c>
      <c r="O50" s="78"/>
      <c r="P50" s="191"/>
      <c r="Q50" s="6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  <row r="51" spans="1:33" ht="15" customHeight="1" x14ac:dyDescent="0.35">
      <c r="A51" s="85">
        <v>1996</v>
      </c>
      <c r="B51" s="58" t="s">
        <v>45</v>
      </c>
      <c r="C51" s="47">
        <f>+'Monthly Historical Flow-Gen'!B34</f>
        <v>1513.2548076923076</v>
      </c>
      <c r="D51" s="46">
        <f>+'Monthly Historical Flow-Gen'!C34</f>
        <v>1528.3341346153845</v>
      </c>
      <c r="E51" s="46">
        <f>+'Monthly Historical Flow-Gen'!D34</f>
        <v>1228.5216346153845</v>
      </c>
      <c r="F51" s="46">
        <f>+'Monthly Historical Flow-Gen'!E34</f>
        <v>1589.5384615384614</v>
      </c>
      <c r="G51" s="46">
        <f>+'Monthly Historical Flow-Gen'!F34</f>
        <v>1083.0504807692307</v>
      </c>
      <c r="H51" s="46">
        <f>+'Monthly Historical Flow-Gen'!G34</f>
        <v>404.56947115384617</v>
      </c>
      <c r="I51" s="46">
        <f>+'Monthly Historical Flow-Gen'!H34</f>
        <v>497.26298076923075</v>
      </c>
      <c r="J51" s="46">
        <f>+'Monthly Historical Flow-Gen'!I34</f>
        <v>260.69495192307687</v>
      </c>
      <c r="K51" s="46">
        <f>+'Monthly Historical Flow-Gen'!J34</f>
        <v>503.64951923076916</v>
      </c>
      <c r="L51" s="46">
        <f>+'Monthly Historical Flow-Gen'!K34</f>
        <v>1201.0240384615383</v>
      </c>
      <c r="M51" s="46">
        <f>+'Monthly Historical Flow-Gen'!L34</f>
        <v>846.57115384615383</v>
      </c>
      <c r="N51" s="45">
        <f>+'Monthly Historical Flow-Gen'!M34</f>
        <v>2103.1225961538462</v>
      </c>
      <c r="O51" s="85">
        <f>+A51</f>
        <v>1996</v>
      </c>
      <c r="P51" s="189"/>
      <c r="Q51" s="62"/>
      <c r="R51" s="61"/>
      <c r="S51" s="61"/>
      <c r="T51" s="61"/>
      <c r="U51" s="61"/>
      <c r="V51" s="15"/>
      <c r="W51" s="15"/>
      <c r="X51" s="15"/>
      <c r="Y51" s="15"/>
      <c r="Z51" s="15"/>
      <c r="AA51" s="15"/>
      <c r="AB51" s="15"/>
    </row>
    <row r="52" spans="1:33" ht="15" customHeight="1" x14ac:dyDescent="0.35">
      <c r="A52" s="65"/>
      <c r="B52" s="48" t="s">
        <v>43</v>
      </c>
      <c r="C52" s="47">
        <f>IF(C51&gt;$O52,$O52,C51)</f>
        <v>927.14285714285722</v>
      </c>
      <c r="D52" s="46">
        <f t="shared" ref="D52" si="87">IF(D51&gt;$O52,$O52,D51)</f>
        <v>927.14285714285722</v>
      </c>
      <c r="E52" s="46">
        <f t="shared" ref="E52" si="88">IF(E51&gt;$O52,$O52,E51)</f>
        <v>927.14285714285722</v>
      </c>
      <c r="F52" s="46">
        <f t="shared" ref="F52" si="89">IF(F51&gt;$O52,$O52,F51)</f>
        <v>927.14285714285722</v>
      </c>
      <c r="G52" s="46">
        <f t="shared" ref="G52" si="90">IF(G51&gt;$O52,$O52,G51)</f>
        <v>927.14285714285722</v>
      </c>
      <c r="H52" s="46">
        <f t="shared" ref="H52" si="91">IF(H51&gt;$O52,$O52,H51)</f>
        <v>404.56947115384617</v>
      </c>
      <c r="I52" s="46">
        <f t="shared" ref="I52" si="92">IF(I51&gt;$O52,$O52,I51)</f>
        <v>497.26298076923075</v>
      </c>
      <c r="J52" s="46">
        <f t="shared" ref="J52" si="93">IF(J51&gt;$O52,$O52,J51)</f>
        <v>260.69495192307687</v>
      </c>
      <c r="K52" s="46">
        <f t="shared" ref="K52" si="94">IF(K51&gt;$O52,$O52,K51)</f>
        <v>503.64951923076916</v>
      </c>
      <c r="L52" s="46">
        <f t="shared" ref="L52" si="95">IF(L51&gt;$O52,$O52,L51)</f>
        <v>927.14285714285722</v>
      </c>
      <c r="M52" s="46">
        <f t="shared" ref="M52" si="96">IF(M51&gt;$O52,$O52,M51)</f>
        <v>846.57115384615383</v>
      </c>
      <c r="N52" s="45">
        <f t="shared" ref="N52" si="97">IF(N51&gt;$O52,$O52,N51)</f>
        <v>927.14285714285722</v>
      </c>
      <c r="O52" s="185">
        <f>IF(P52="Pre",'cfs limit calculation'!$E$6,'cfs limit calculation'!$E$11)</f>
        <v>927.14285714285722</v>
      </c>
      <c r="P52" s="190" t="str">
        <f>+P47</f>
        <v>Pre</v>
      </c>
      <c r="Q52" s="62"/>
      <c r="R52" s="61"/>
      <c r="S52" s="61"/>
      <c r="T52" s="61"/>
      <c r="U52" s="61"/>
      <c r="V52" s="15"/>
      <c r="W52" s="15"/>
      <c r="X52" s="15"/>
      <c r="Y52" s="15"/>
      <c r="Z52" s="15"/>
      <c r="AA52" s="15"/>
      <c r="AB52" s="15"/>
    </row>
    <row r="53" spans="1:33" ht="15" customHeight="1" x14ac:dyDescent="0.35">
      <c r="A53" s="85"/>
      <c r="B53" s="8" t="s">
        <v>44</v>
      </c>
      <c r="C53" s="47">
        <f>+'Monthly Historical Flow-Gen'!B60</f>
        <v>1053.2113837489944</v>
      </c>
      <c r="D53" s="46">
        <f>+'Monthly Historical Flow-Gen'!C60</f>
        <v>1074.6618442401298</v>
      </c>
      <c r="E53" s="46">
        <f>+'Monthly Historical Flow-Gen'!D60</f>
        <v>812.33317624882181</v>
      </c>
      <c r="F53" s="46">
        <f>+'Monthly Historical Flow-Gen'!E60</f>
        <v>1066.6431588613407</v>
      </c>
      <c r="G53" s="46">
        <f>+'Monthly Historical Flow-Gen'!F60</f>
        <v>863.62457831325321</v>
      </c>
      <c r="H53" s="46">
        <f>+'Monthly Historical Flow-Gen'!G60</f>
        <v>270.83117786121545</v>
      </c>
      <c r="I53" s="46">
        <f>+'Monthly Historical Flow-Gen'!H60</f>
        <v>248.06321370309954</v>
      </c>
      <c r="J53" s="46">
        <f>+'Monthly Historical Flow-Gen'!I60</f>
        <v>38.917947505320406</v>
      </c>
      <c r="K53" s="46">
        <f>+'Monthly Historical Flow-Gen'!J60</f>
        <v>1.5543996871333592</v>
      </c>
      <c r="L53" s="46">
        <f>+'Monthly Historical Flow-Gen'!K60</f>
        <v>132.85282183696054</v>
      </c>
      <c r="M53" s="46">
        <f>+'Monthly Historical Flow-Gen'!L60</f>
        <v>436.71432545201674</v>
      </c>
      <c r="N53" s="45">
        <f>+'Monthly Historical Flow-Gen'!M60</f>
        <v>805.30914990266069</v>
      </c>
      <c r="O53" s="85"/>
      <c r="P53" s="189"/>
      <c r="Q53" s="62"/>
      <c r="R53" s="61"/>
      <c r="S53" s="61"/>
      <c r="T53" s="61"/>
      <c r="U53" s="61"/>
      <c r="V53" s="15"/>
      <c r="W53" s="15"/>
      <c r="X53" s="15"/>
      <c r="Y53" s="15"/>
      <c r="Z53" s="15"/>
      <c r="AA53" s="15"/>
      <c r="AB53" s="15"/>
    </row>
    <row r="54" spans="1:33" ht="15" customHeight="1" x14ac:dyDescent="0.35">
      <c r="B54" s="22" t="s">
        <v>67</v>
      </c>
      <c r="C54" s="47">
        <f>IF($P52="Pre",IF('cfs limit calculation'!B$17&gt;Calculations!C53,Calculations!C53,'cfs limit calculation'!B$17),IF('cfs limit calculation'!B$19&gt;Calculations!C53,Calculations!C53,'cfs limit calculation'!B$19))</f>
        <v>572.88</v>
      </c>
      <c r="D54" s="46">
        <f>IF($P52="Pre",IF('cfs limit calculation'!C$17&gt;Calculations!D53,Calculations!D53,'cfs limit calculation'!C$17),IF('cfs limit calculation'!C$19&gt;Calculations!D53,Calculations!D53,'cfs limit calculation'!C$19))</f>
        <v>522.05999999999995</v>
      </c>
      <c r="E54" s="46">
        <f>IF($P52="Pre",IF('cfs limit calculation'!D$17&gt;Calculations!E53,Calculations!E53,'cfs limit calculation'!D$17),IF('cfs limit calculation'!D$19&gt;Calculations!E53,Calculations!E53,'cfs limit calculation'!D$19))</f>
        <v>572.88</v>
      </c>
      <c r="F54" s="46">
        <f>IF($P52="Pre",IF('cfs limit calculation'!E$17&gt;Calculations!F53,Calculations!F53,'cfs limit calculation'!E$17),IF('cfs limit calculation'!E$19&gt;Calculations!F53,Calculations!F53,'cfs limit calculation'!E$19))</f>
        <v>554.4</v>
      </c>
      <c r="G54" s="46">
        <f>IF($P52="Pre",IF('cfs limit calculation'!F$17&gt;Calculations!G53,Calculations!G53,'cfs limit calculation'!F$17),IF('cfs limit calculation'!F$19&gt;Calculations!G53,Calculations!G53,'cfs limit calculation'!F$19))</f>
        <v>572.88</v>
      </c>
      <c r="H54" s="46">
        <f>IF($P52="Pre",IF('cfs limit calculation'!G$17&gt;Calculations!H53,Calculations!H53,'cfs limit calculation'!G$17),IF('cfs limit calculation'!G$19&gt;Calculations!H53,Calculations!H53,'cfs limit calculation'!G$19))</f>
        <v>270.83117786121545</v>
      </c>
      <c r="I54" s="46">
        <f>IF($P52="Pre",IF('cfs limit calculation'!H$17&gt;Calculations!I53,Calculations!I53,'cfs limit calculation'!H$17),IF('cfs limit calculation'!H$19&gt;Calculations!I53,Calculations!I53,'cfs limit calculation'!H$19))</f>
        <v>248.06321370309954</v>
      </c>
      <c r="J54" s="46">
        <f>IF($P52="Pre",IF('cfs limit calculation'!I$17&gt;Calculations!J53,Calculations!J53,'cfs limit calculation'!I$17),IF('cfs limit calculation'!I$19&gt;Calculations!J53,Calculations!J53,'cfs limit calculation'!I$19))</f>
        <v>38.917947505320406</v>
      </c>
      <c r="K54" s="46">
        <f>IF($P52="Pre",IF('cfs limit calculation'!J$17&gt;Calculations!K53,Calculations!K53,'cfs limit calculation'!J$17),IF('cfs limit calculation'!J$19&gt;Calculations!K53,Calculations!K53,'cfs limit calculation'!J$19))</f>
        <v>1.5543996871333592</v>
      </c>
      <c r="L54" s="46">
        <f>IF($P52="Pre",IF('cfs limit calculation'!K$17&gt;Calculations!L53,Calculations!L53,'cfs limit calculation'!K$17),IF('cfs limit calculation'!K$19&gt;Calculations!L53,Calculations!L53,'cfs limit calculation'!K$19))</f>
        <v>132.85282183696054</v>
      </c>
      <c r="M54" s="46">
        <f>IF($P52="Pre",IF('cfs limit calculation'!L$17&gt;Calculations!M53,Calculations!M53,'cfs limit calculation'!L$17),IF('cfs limit calculation'!L$19&gt;Calculations!M53,Calculations!M53,'cfs limit calculation'!L$19))</f>
        <v>436.71432545201674</v>
      </c>
      <c r="N54" s="45">
        <f>IF($P52="Pre",IF('cfs limit calculation'!M$17&gt;Calculations!N53,Calculations!N53,'cfs limit calculation'!M$17),IF('cfs limit calculation'!M$19&gt;Calculations!N53,Calculations!N53,'cfs limit calculation'!M$19))</f>
        <v>572.88</v>
      </c>
      <c r="O54" s="85"/>
      <c r="P54" s="189"/>
      <c r="Q54" s="62"/>
      <c r="R54" s="61"/>
      <c r="S54" s="61"/>
      <c r="T54" s="61"/>
      <c r="U54" s="61"/>
      <c r="V54" s="15"/>
      <c r="W54" s="15"/>
      <c r="X54" s="15"/>
      <c r="Y54" s="15"/>
      <c r="Z54" s="15"/>
      <c r="AA54" s="15"/>
      <c r="AB54" s="15"/>
    </row>
    <row r="55" spans="1:33" ht="15" customHeight="1" thickBot="1" x14ac:dyDescent="0.4">
      <c r="A55" s="78"/>
      <c r="B55" s="50" t="s">
        <v>42</v>
      </c>
      <c r="C55" s="265">
        <f t="shared" ref="C55:N55" si="98">+C54/C52</f>
        <v>0.61789830508474575</v>
      </c>
      <c r="D55" s="266">
        <f t="shared" si="98"/>
        <v>0.56308474576271172</v>
      </c>
      <c r="E55" s="266">
        <f t="shared" si="98"/>
        <v>0.61789830508474575</v>
      </c>
      <c r="F55" s="266">
        <f t="shared" si="98"/>
        <v>0.59796610169491515</v>
      </c>
      <c r="G55" s="266">
        <f t="shared" si="98"/>
        <v>0.61789830508474575</v>
      </c>
      <c r="H55" s="266">
        <f t="shared" si="98"/>
        <v>0.66943058528068256</v>
      </c>
      <c r="I55" s="266">
        <f t="shared" si="98"/>
        <v>0.49885719085575853</v>
      </c>
      <c r="J55" s="266">
        <f t="shared" si="98"/>
        <v>0.14928538975623856</v>
      </c>
      <c r="K55" s="266">
        <f t="shared" si="98"/>
        <v>3.0862725522053814E-3</v>
      </c>
      <c r="L55" s="266">
        <f t="shared" si="98"/>
        <v>0.14329272000904833</v>
      </c>
      <c r="M55" s="268">
        <f t="shared" si="98"/>
        <v>0.51586251606605082</v>
      </c>
      <c r="N55" s="267">
        <f t="shared" si="98"/>
        <v>0.61789830508474575</v>
      </c>
      <c r="O55" s="78"/>
      <c r="P55" s="191"/>
      <c r="Q55" s="62"/>
      <c r="R55" s="61"/>
      <c r="S55" s="61"/>
      <c r="T55" s="61"/>
      <c r="U55" s="61"/>
      <c r="V55" s="15"/>
      <c r="W55" s="15"/>
      <c r="X55" s="15"/>
      <c r="Y55" s="15"/>
      <c r="Z55" s="15"/>
      <c r="AA55" s="15"/>
      <c r="AB55" s="15"/>
    </row>
    <row r="56" spans="1:33" ht="15" customHeight="1" x14ac:dyDescent="0.35">
      <c r="A56" s="85">
        <v>1997</v>
      </c>
      <c r="B56" s="58" t="s">
        <v>45</v>
      </c>
      <c r="C56" s="79">
        <f>+'Monthly Historical Flow-Gen'!B35</f>
        <v>1169.9783653846152</v>
      </c>
      <c r="D56" s="80">
        <f>+'Monthly Historical Flow-Gen'!C35</f>
        <v>1024.5072115384614</v>
      </c>
      <c r="E56" s="80">
        <f>+'Monthly Historical Flow-Gen'!D35</f>
        <v>938.46634615384608</v>
      </c>
      <c r="F56" s="80">
        <f>+'Monthly Historical Flow-Gen'!E35</f>
        <v>1872.497596153846</v>
      </c>
      <c r="G56" s="80">
        <f>+'Monthly Historical Flow-Gen'!F35</f>
        <v>826.25841346153845</v>
      </c>
      <c r="H56" s="80">
        <f>+'Monthly Historical Flow-Gen'!G35</f>
        <v>261.93677884615386</v>
      </c>
      <c r="I56" s="80">
        <f>+'Monthly Historical Flow-Gen'!H35</f>
        <v>111.94182692307692</v>
      </c>
      <c r="J56" s="80">
        <f>+'Monthly Historical Flow-Gen'!I35</f>
        <v>110.43389423076923</v>
      </c>
      <c r="K56" s="80">
        <f>+'Monthly Historical Flow-Gen'!J35</f>
        <v>91.895192307692298</v>
      </c>
      <c r="L56" s="80">
        <f>+'Monthly Historical Flow-Gen'!K35</f>
        <v>109.1920673076923</v>
      </c>
      <c r="M56" s="80">
        <f>+'Monthly Historical Flow-Gen'!L35</f>
        <v>382.6600961538461</v>
      </c>
      <c r="N56" s="81">
        <f>+'Monthly Historical Flow-Gen'!M35</f>
        <v>306.55384615384617</v>
      </c>
      <c r="O56" s="86">
        <f>+A56</f>
        <v>1997</v>
      </c>
      <c r="P56" s="188"/>
      <c r="Q56" s="62"/>
      <c r="R56" s="61"/>
      <c r="S56" s="61"/>
      <c r="T56" s="61"/>
      <c r="U56" s="61"/>
      <c r="V56" s="15"/>
      <c r="W56" s="15"/>
      <c r="X56" s="15"/>
      <c r="Y56" s="15"/>
      <c r="Z56" s="15"/>
      <c r="AA56" s="15"/>
      <c r="AB56" s="15"/>
    </row>
    <row r="57" spans="1:33" ht="15" customHeight="1" x14ac:dyDescent="0.35">
      <c r="A57" s="65"/>
      <c r="B57" s="48" t="s">
        <v>43</v>
      </c>
      <c r="C57" s="47">
        <f>IF(C56&gt;$O57,$O57,C56)</f>
        <v>927.14285714285722</v>
      </c>
      <c r="D57" s="46">
        <f t="shared" ref="D57" si="99">IF(D56&gt;$O57,$O57,D56)</f>
        <v>927.14285714285722</v>
      </c>
      <c r="E57" s="46">
        <f t="shared" ref="E57" si="100">IF(E56&gt;$O57,$O57,E56)</f>
        <v>927.14285714285722</v>
      </c>
      <c r="F57" s="46">
        <f t="shared" ref="F57" si="101">IF(F56&gt;$O57,$O57,F56)</f>
        <v>927.14285714285722</v>
      </c>
      <c r="G57" s="46">
        <f t="shared" ref="G57" si="102">IF(G56&gt;$O57,$O57,G56)</f>
        <v>826.25841346153845</v>
      </c>
      <c r="H57" s="46">
        <f t="shared" ref="H57" si="103">IF(H56&gt;$O57,$O57,H56)</f>
        <v>261.93677884615386</v>
      </c>
      <c r="I57" s="46">
        <f t="shared" ref="I57" si="104">IF(I56&gt;$O57,$O57,I56)</f>
        <v>111.94182692307692</v>
      </c>
      <c r="J57" s="46">
        <f t="shared" ref="J57" si="105">IF(J56&gt;$O57,$O57,J56)</f>
        <v>110.43389423076923</v>
      </c>
      <c r="K57" s="46">
        <f t="shared" ref="K57" si="106">IF(K56&gt;$O57,$O57,K56)</f>
        <v>91.895192307692298</v>
      </c>
      <c r="L57" s="46">
        <f t="shared" ref="L57" si="107">IF(L56&gt;$O57,$O57,L56)</f>
        <v>109.1920673076923</v>
      </c>
      <c r="M57" s="46">
        <f t="shared" ref="M57" si="108">IF(M56&gt;$O57,$O57,M56)</f>
        <v>382.6600961538461</v>
      </c>
      <c r="N57" s="45">
        <f t="shared" ref="N57" si="109">IF(N56&gt;$O57,$O57,N56)</f>
        <v>306.55384615384617</v>
      </c>
      <c r="O57" s="185">
        <f>IF(P57="Pre",'cfs limit calculation'!$E$6,'cfs limit calculation'!$E$11)</f>
        <v>927.14285714285722</v>
      </c>
      <c r="P57" s="190" t="str">
        <f>+P52</f>
        <v>Pre</v>
      </c>
      <c r="Q57" s="62"/>
      <c r="R57" s="61"/>
      <c r="S57" s="61"/>
      <c r="T57" s="61"/>
      <c r="U57" s="61"/>
      <c r="V57" s="15"/>
      <c r="W57" s="15"/>
      <c r="X57" s="15"/>
      <c r="Y57" s="15"/>
      <c r="Z57" s="15"/>
      <c r="AA57" s="15"/>
      <c r="AB57" s="15"/>
    </row>
    <row r="58" spans="1:33" ht="15" customHeight="1" x14ac:dyDescent="0.35">
      <c r="A58" s="85"/>
      <c r="B58" s="8" t="s">
        <v>44</v>
      </c>
      <c r="C58" s="47">
        <f>+'Monthly Historical Flow-Gen'!B61</f>
        <v>814.29414722445688</v>
      </c>
      <c r="D58" s="46">
        <f>+'Monthly Historical Flow-Gen'!C61</f>
        <v>720.39142779881013</v>
      </c>
      <c r="E58" s="46">
        <f>+'Monthly Historical Flow-Gen'!D61</f>
        <v>620.54043355325155</v>
      </c>
      <c r="F58" s="46">
        <f>+'Monthly Historical Flow-Gen'!E61</f>
        <v>1256.5199265381084</v>
      </c>
      <c r="G58" s="46">
        <f>+'Monthly Historical Flow-Gen'!F61</f>
        <v>658.85855421686767</v>
      </c>
      <c r="H58" s="46">
        <f>+'Monthly Historical Flow-Gen'!G61</f>
        <v>175.34849116951747</v>
      </c>
      <c r="I58" s="46">
        <f>+'Monthly Historical Flow-Gen'!H61</f>
        <v>55.842985318107672</v>
      </c>
      <c r="J58" s="46">
        <f>+'Monthly Historical Flow-Gen'!I61</f>
        <v>16.486166942539608</v>
      </c>
      <c r="K58" s="46">
        <f>+'Monthly Historical Flow-Gen'!J61</f>
        <v>0.28361360969886584</v>
      </c>
      <c r="L58" s="46">
        <f>+'Monthly Historical Flow-Gen'!K61</f>
        <v>12.078421246772409</v>
      </c>
      <c r="M58" s="46">
        <f>+'Monthly Historical Flow-Gen'!L61</f>
        <v>197.39999999999998</v>
      </c>
      <c r="N58" s="45">
        <f>+'Monthly Historical Flow-Gen'!M61</f>
        <v>117.38289422452954</v>
      </c>
      <c r="O58" s="85"/>
      <c r="P58" s="189"/>
      <c r="Q58" s="62"/>
      <c r="R58" s="61"/>
      <c r="S58" s="61"/>
      <c r="T58" s="61"/>
      <c r="U58" s="61"/>
      <c r="V58" s="15"/>
      <c r="W58" s="15"/>
      <c r="X58" s="15"/>
      <c r="Y58" s="15"/>
      <c r="Z58" s="15"/>
      <c r="AA58" s="15"/>
      <c r="AB58" s="15"/>
    </row>
    <row r="59" spans="1:33" ht="15" customHeight="1" x14ac:dyDescent="0.35">
      <c r="B59" s="22" t="s">
        <v>67</v>
      </c>
      <c r="C59" s="47">
        <f>IF($P57="Pre",IF('cfs limit calculation'!B$17&gt;Calculations!C58,Calculations!C58,'cfs limit calculation'!B$17),IF('cfs limit calculation'!B$19&gt;Calculations!C58,Calculations!C58,'cfs limit calculation'!B$19))</f>
        <v>572.88</v>
      </c>
      <c r="D59" s="46">
        <f>IF($P57="Pre",IF('cfs limit calculation'!C$17&gt;Calculations!D58,Calculations!D58,'cfs limit calculation'!C$17),IF('cfs limit calculation'!C$19&gt;Calculations!D58,Calculations!D58,'cfs limit calculation'!C$19))</f>
        <v>522.05999999999995</v>
      </c>
      <c r="E59" s="46">
        <f>IF($P57="Pre",IF('cfs limit calculation'!D$17&gt;Calculations!E58,Calculations!E58,'cfs limit calculation'!D$17),IF('cfs limit calculation'!D$19&gt;Calculations!E58,Calculations!E58,'cfs limit calculation'!D$19))</f>
        <v>572.88</v>
      </c>
      <c r="F59" s="46">
        <f>IF($P57="Pre",IF('cfs limit calculation'!E$17&gt;Calculations!F58,Calculations!F58,'cfs limit calculation'!E$17),IF('cfs limit calculation'!E$19&gt;Calculations!F58,Calculations!F58,'cfs limit calculation'!E$19))</f>
        <v>554.4</v>
      </c>
      <c r="G59" s="46">
        <f>IF($P57="Pre",IF('cfs limit calculation'!F$17&gt;Calculations!G58,Calculations!G58,'cfs limit calculation'!F$17),IF('cfs limit calculation'!F$19&gt;Calculations!G58,Calculations!G58,'cfs limit calculation'!F$19))</f>
        <v>572.88</v>
      </c>
      <c r="H59" s="46">
        <f>IF($P57="Pre",IF('cfs limit calculation'!G$17&gt;Calculations!H58,Calculations!H58,'cfs limit calculation'!G$17),IF('cfs limit calculation'!G$19&gt;Calculations!H58,Calculations!H58,'cfs limit calculation'!G$19))</f>
        <v>175.34849116951747</v>
      </c>
      <c r="I59" s="46">
        <f>IF($P57="Pre",IF('cfs limit calculation'!H$17&gt;Calculations!I58,Calculations!I58,'cfs limit calculation'!H$17),IF('cfs limit calculation'!H$19&gt;Calculations!I58,Calculations!I58,'cfs limit calculation'!H$19))</f>
        <v>55.842985318107672</v>
      </c>
      <c r="J59" s="46">
        <f>IF($P57="Pre",IF('cfs limit calculation'!I$17&gt;Calculations!J58,Calculations!J58,'cfs limit calculation'!I$17),IF('cfs limit calculation'!I$19&gt;Calculations!J58,Calculations!J58,'cfs limit calculation'!I$19))</f>
        <v>16.486166942539608</v>
      </c>
      <c r="K59" s="46">
        <f>IF($P57="Pre",IF('cfs limit calculation'!J$17&gt;Calculations!K58,Calculations!K58,'cfs limit calculation'!J$17),IF('cfs limit calculation'!J$19&gt;Calculations!K58,Calculations!K58,'cfs limit calculation'!J$19))</f>
        <v>0.28361360969886584</v>
      </c>
      <c r="L59" s="46">
        <f>IF($P57="Pre",IF('cfs limit calculation'!K$17&gt;Calculations!L58,Calculations!L58,'cfs limit calculation'!K$17),IF('cfs limit calculation'!K$19&gt;Calculations!L58,Calculations!L58,'cfs limit calculation'!K$19))</f>
        <v>12.078421246772409</v>
      </c>
      <c r="M59" s="46">
        <f>IF($P57="Pre",IF('cfs limit calculation'!L$17&gt;Calculations!M58,Calculations!M58,'cfs limit calculation'!L$17),IF('cfs limit calculation'!L$19&gt;Calculations!M58,Calculations!M58,'cfs limit calculation'!L$19))</f>
        <v>197.39999999999998</v>
      </c>
      <c r="N59" s="45">
        <f>IF($P57="Pre",IF('cfs limit calculation'!M$17&gt;Calculations!N58,Calculations!N58,'cfs limit calculation'!M$17),IF('cfs limit calculation'!M$19&gt;Calculations!N58,Calculations!N58,'cfs limit calculation'!M$19))</f>
        <v>117.38289422452954</v>
      </c>
      <c r="O59" s="65"/>
      <c r="P59" s="48"/>
      <c r="Q59" s="62"/>
      <c r="R59" s="61"/>
      <c r="S59" s="61"/>
      <c r="T59" s="61"/>
      <c r="U59" s="61"/>
      <c r="V59" s="15"/>
      <c r="W59" s="15"/>
      <c r="X59" s="15"/>
      <c r="Y59" s="15"/>
      <c r="Z59" s="15"/>
      <c r="AA59" s="15"/>
      <c r="AB59" s="15"/>
    </row>
    <row r="60" spans="1:33" ht="15" customHeight="1" thickBot="1" x14ac:dyDescent="0.4">
      <c r="A60" s="78"/>
      <c r="B60" s="50" t="s">
        <v>42</v>
      </c>
      <c r="C60" s="265">
        <f t="shared" ref="C60:N60" si="110">+C59/C57</f>
        <v>0.61789830508474575</v>
      </c>
      <c r="D60" s="268">
        <f t="shared" si="110"/>
        <v>0.56308474576271172</v>
      </c>
      <c r="E60" s="266">
        <f t="shared" si="110"/>
        <v>0.61789830508474575</v>
      </c>
      <c r="F60" s="268">
        <f t="shared" si="110"/>
        <v>0.59796610169491515</v>
      </c>
      <c r="G60" s="266">
        <f t="shared" si="110"/>
        <v>0.69334241039672873</v>
      </c>
      <c r="H60" s="266">
        <f t="shared" si="110"/>
        <v>0.66943058528068256</v>
      </c>
      <c r="I60" s="266">
        <f t="shared" si="110"/>
        <v>0.49885719085575853</v>
      </c>
      <c r="J60" s="266">
        <f t="shared" si="110"/>
        <v>0.14928538975623856</v>
      </c>
      <c r="K60" s="266">
        <f t="shared" si="110"/>
        <v>3.0862725522053814E-3</v>
      </c>
      <c r="L60" s="266">
        <f t="shared" si="110"/>
        <v>0.11061628875233792</v>
      </c>
      <c r="M60" s="266">
        <f t="shared" si="110"/>
        <v>0.51586251606605082</v>
      </c>
      <c r="N60" s="267">
        <f t="shared" si="110"/>
        <v>0.38291117758679211</v>
      </c>
      <c r="O60" s="78"/>
      <c r="P60" s="191"/>
      <c r="Q60" s="62"/>
      <c r="R60" s="61"/>
      <c r="S60" s="61"/>
      <c r="T60" s="61"/>
      <c r="U60" s="61"/>
      <c r="V60" s="15"/>
      <c r="W60" s="15"/>
      <c r="X60" s="15"/>
      <c r="Y60" s="15"/>
      <c r="Z60" s="15"/>
      <c r="AA60" s="15"/>
      <c r="AB60" s="15"/>
    </row>
    <row r="61" spans="1:33" ht="15" customHeight="1" x14ac:dyDescent="0.3">
      <c r="A61" s="84">
        <v>1998</v>
      </c>
      <c r="B61" s="58" t="s">
        <v>45</v>
      </c>
      <c r="C61" s="75">
        <f>+'Monthly Historical Flow-Gen'!B36</f>
        <v>1133.6105769230769</v>
      </c>
      <c r="D61" s="31">
        <f>+'Monthly Historical Flow-Gen'!C36</f>
        <v>1443.1802884615383</v>
      </c>
      <c r="E61" s="31">
        <f>+'Monthly Historical Flow-Gen'!D36</f>
        <v>1991.3581730769231</v>
      </c>
      <c r="F61" s="31">
        <f>+'Monthly Historical Flow-Gen'!E36</f>
        <v>1056.4399038461538</v>
      </c>
      <c r="G61" s="31">
        <f>+'Monthly Historical Flow-Gen'!F36</f>
        <v>1262.2283653846152</v>
      </c>
      <c r="H61" s="31">
        <f>+'Monthly Historical Flow-Gen'!G36</f>
        <v>1520.3509615384614</v>
      </c>
      <c r="I61" s="31">
        <f>+'Monthly Historical Flow-Gen'!H36</f>
        <v>762.57043269230769</v>
      </c>
      <c r="J61" s="31">
        <f>+'Monthly Historical Flow-Gen'!I36</f>
        <v>192.30576923076924</v>
      </c>
      <c r="K61" s="31">
        <f>+'Monthly Historical Flow-Gen'!J36</f>
        <v>137.13317307692307</v>
      </c>
      <c r="L61" s="31">
        <f>+'Monthly Historical Flow-Gen'!K36</f>
        <v>413.35096153846149</v>
      </c>
      <c r="M61" s="31">
        <f>+'Monthly Historical Flow-Gen'!L36</f>
        <v>297.77235576923073</v>
      </c>
      <c r="N61" s="36">
        <f>+'Monthly Historical Flow-Gen'!M36</f>
        <v>266.19447115384617</v>
      </c>
      <c r="O61" s="85">
        <f>+A61</f>
        <v>1998</v>
      </c>
      <c r="P61" s="189"/>
      <c r="Q61" s="52"/>
      <c r="R61" s="90"/>
      <c r="S61" s="90"/>
      <c r="T61" s="90"/>
      <c r="U61" s="61"/>
      <c r="V61" s="90"/>
      <c r="W61" s="90"/>
      <c r="X61" s="90"/>
      <c r="Y61" s="15"/>
      <c r="Z61" s="15"/>
      <c r="AA61" s="15"/>
      <c r="AB61" s="15"/>
    </row>
    <row r="62" spans="1:33" ht="15" customHeight="1" x14ac:dyDescent="0.3">
      <c r="A62" s="83"/>
      <c r="B62" s="48" t="s">
        <v>43</v>
      </c>
      <c r="C62" s="47">
        <f>IF(C61&gt;$O62,$O62,C61)</f>
        <v>927.14285714285722</v>
      </c>
      <c r="D62" s="46">
        <f t="shared" ref="D62" si="111">IF(D61&gt;$O62,$O62,D61)</f>
        <v>927.14285714285722</v>
      </c>
      <c r="E62" s="46">
        <f t="shared" ref="E62" si="112">IF(E61&gt;$O62,$O62,E61)</f>
        <v>927.14285714285722</v>
      </c>
      <c r="F62" s="46">
        <f t="shared" ref="F62" si="113">IF(F61&gt;$O62,$O62,F61)</f>
        <v>927.14285714285722</v>
      </c>
      <c r="G62" s="46">
        <f t="shared" ref="G62" si="114">IF(G61&gt;$O62,$O62,G61)</f>
        <v>927.14285714285722</v>
      </c>
      <c r="H62" s="46">
        <f t="shared" ref="H62" si="115">IF(H61&gt;$O62,$O62,H61)</f>
        <v>927.14285714285722</v>
      </c>
      <c r="I62" s="46">
        <f t="shared" ref="I62" si="116">IF(I61&gt;$O62,$O62,I61)</f>
        <v>762.57043269230769</v>
      </c>
      <c r="J62" s="46">
        <f t="shared" ref="J62" si="117">IF(J61&gt;$O62,$O62,J61)</f>
        <v>192.30576923076924</v>
      </c>
      <c r="K62" s="46">
        <f t="shared" ref="K62" si="118">IF(K61&gt;$O62,$O62,K61)</f>
        <v>137.13317307692307</v>
      </c>
      <c r="L62" s="46">
        <f t="shared" ref="L62" si="119">IF(L61&gt;$O62,$O62,L61)</f>
        <v>413.35096153846149</v>
      </c>
      <c r="M62" s="46">
        <f t="shared" ref="M62" si="120">IF(M61&gt;$O62,$O62,M61)</f>
        <v>297.77235576923073</v>
      </c>
      <c r="N62" s="45">
        <f t="shared" ref="N62" si="121">IF(N61&gt;$O62,$O62,N61)</f>
        <v>266.19447115384617</v>
      </c>
      <c r="O62" s="185">
        <f>IF(P62="Pre",'cfs limit calculation'!$E$6,'cfs limit calculation'!$E$11)</f>
        <v>927.14285714285722</v>
      </c>
      <c r="P62" s="190" t="str">
        <f>+P57</f>
        <v>Pre</v>
      </c>
      <c r="Q62" s="52"/>
      <c r="R62" s="90"/>
      <c r="S62" s="90"/>
      <c r="T62" s="90"/>
      <c r="U62" s="61"/>
      <c r="V62" s="90"/>
      <c r="W62" s="90"/>
      <c r="X62" s="90"/>
      <c r="Y62" s="15"/>
      <c r="Z62" s="15"/>
      <c r="AA62" s="15"/>
      <c r="AB62" s="15"/>
    </row>
    <row r="63" spans="1:33" ht="15" customHeight="1" x14ac:dyDescent="0.3">
      <c r="A63" s="83"/>
      <c r="B63" s="8" t="s">
        <v>44</v>
      </c>
      <c r="C63" s="47">
        <f>+'Monthly Historical Flow-Gen'!B62</f>
        <v>788.98250201126314</v>
      </c>
      <c r="D63" s="46">
        <f>+'Monthly Historical Flow-Gen'!C62</f>
        <v>1014.7851541373715</v>
      </c>
      <c r="E63" s="46">
        <f>+'Monthly Historical Flow-Gen'!D62</f>
        <v>1316.7422243166823</v>
      </c>
      <c r="F63" s="46">
        <f>+'Monthly Historical Flow-Gen'!E62</f>
        <v>708.91294765840223</v>
      </c>
      <c r="G63" s="46">
        <f>+'Monthly Historical Flow-Gen'!F62</f>
        <v>1006.501044176707</v>
      </c>
      <c r="H63" s="46">
        <f>+'Monthly Historical Flow-Gen'!G62</f>
        <v>1017.7694340147407</v>
      </c>
      <c r="I63" s="46">
        <f>+'Monthly Historical Flow-Gen'!H62</f>
        <v>380.41374388254491</v>
      </c>
      <c r="J63" s="46">
        <f>+'Monthly Historical Flow-Gen'!I62</f>
        <v>28.708441711988655</v>
      </c>
      <c r="K63" s="46">
        <f>+'Monthly Historical Flow-Gen'!J62</f>
        <v>0.42323034806413767</v>
      </c>
      <c r="L63" s="46">
        <f>+'Monthly Historical Flow-Gen'!K62</f>
        <v>45.72334931759498</v>
      </c>
      <c r="M63" s="46">
        <f>+'Monthly Historical Flow-Gen'!L62</f>
        <v>153.60959666203058</v>
      </c>
      <c r="N63" s="45">
        <f>+'Monthly Historical Flow-Gen'!M62</f>
        <v>101.92883841661259</v>
      </c>
      <c r="O63" s="85"/>
      <c r="P63" s="189"/>
      <c r="Q63" s="51"/>
      <c r="R63" s="90"/>
      <c r="S63" s="90"/>
      <c r="T63" s="90"/>
      <c r="U63" s="61"/>
      <c r="V63" s="90"/>
      <c r="W63" s="90"/>
      <c r="X63" s="90"/>
      <c r="Y63" s="15"/>
      <c r="Z63" s="15"/>
      <c r="AA63" s="15"/>
      <c r="AB63" s="15"/>
    </row>
    <row r="64" spans="1:33" ht="15" customHeight="1" x14ac:dyDescent="0.3">
      <c r="B64" s="22" t="s">
        <v>67</v>
      </c>
      <c r="C64" s="47">
        <f>IF($P62="Pre",IF('cfs limit calculation'!B$17&gt;Calculations!C63,Calculations!C63,'cfs limit calculation'!B$17),IF('cfs limit calculation'!B$19&gt;Calculations!C63,Calculations!C63,'cfs limit calculation'!B$19))</f>
        <v>572.88</v>
      </c>
      <c r="D64" s="46">
        <f>IF($P62="Pre",IF('cfs limit calculation'!C$17&gt;Calculations!D63,Calculations!D63,'cfs limit calculation'!C$17),IF('cfs limit calculation'!C$19&gt;Calculations!D63,Calculations!D63,'cfs limit calculation'!C$19))</f>
        <v>522.05999999999995</v>
      </c>
      <c r="E64" s="46">
        <f>IF($P62="Pre",IF('cfs limit calculation'!D$17&gt;Calculations!E63,Calculations!E63,'cfs limit calculation'!D$17),IF('cfs limit calculation'!D$19&gt;Calculations!E63,Calculations!E63,'cfs limit calculation'!D$19))</f>
        <v>572.88</v>
      </c>
      <c r="F64" s="46">
        <f>IF($P62="Pre",IF('cfs limit calculation'!E$17&gt;Calculations!F63,Calculations!F63,'cfs limit calculation'!E$17),IF('cfs limit calculation'!E$19&gt;Calculations!F63,Calculations!F63,'cfs limit calculation'!E$19))</f>
        <v>554.4</v>
      </c>
      <c r="G64" s="46">
        <f>IF($P62="Pre",IF('cfs limit calculation'!F$17&gt;Calculations!G63,Calculations!G63,'cfs limit calculation'!F$17),IF('cfs limit calculation'!F$19&gt;Calculations!G63,Calculations!G63,'cfs limit calculation'!F$19))</f>
        <v>572.88</v>
      </c>
      <c r="H64" s="46">
        <f>IF($P62="Pre",IF('cfs limit calculation'!G$17&gt;Calculations!H63,Calculations!H63,'cfs limit calculation'!G$17),IF('cfs limit calculation'!G$19&gt;Calculations!H63,Calculations!H63,'cfs limit calculation'!G$19))</f>
        <v>554.4</v>
      </c>
      <c r="I64" s="46">
        <f>IF($P62="Pre",IF('cfs limit calculation'!H$17&gt;Calculations!I63,Calculations!I63,'cfs limit calculation'!H$17),IF('cfs limit calculation'!H$19&gt;Calculations!I63,Calculations!I63,'cfs limit calculation'!H$19))</f>
        <v>380.41374388254491</v>
      </c>
      <c r="J64" s="46">
        <f>IF($P62="Pre",IF('cfs limit calculation'!I$17&gt;Calculations!J63,Calculations!J63,'cfs limit calculation'!I$17),IF('cfs limit calculation'!I$19&gt;Calculations!J63,Calculations!J63,'cfs limit calculation'!I$19))</f>
        <v>28.708441711988655</v>
      </c>
      <c r="K64" s="46">
        <f>IF($P62="Pre",IF('cfs limit calculation'!J$17&gt;Calculations!K63,Calculations!K63,'cfs limit calculation'!J$17),IF('cfs limit calculation'!J$19&gt;Calculations!K63,Calculations!K63,'cfs limit calculation'!J$19))</f>
        <v>0.42323034806413767</v>
      </c>
      <c r="L64" s="46">
        <f>IF($P62="Pre",IF('cfs limit calculation'!K$17&gt;Calculations!L63,Calculations!L63,'cfs limit calculation'!K$17),IF('cfs limit calculation'!K$19&gt;Calculations!L63,Calculations!L63,'cfs limit calculation'!K$19))</f>
        <v>45.72334931759498</v>
      </c>
      <c r="M64" s="46">
        <f>IF($P62="Pre",IF('cfs limit calculation'!L$17&gt;Calculations!M63,Calculations!M63,'cfs limit calculation'!L$17),IF('cfs limit calculation'!L$19&gt;Calculations!M63,Calculations!M63,'cfs limit calculation'!L$19))</f>
        <v>153.60959666203058</v>
      </c>
      <c r="N64" s="45">
        <f>IF($P62="Pre",IF('cfs limit calculation'!M$17&gt;Calculations!N63,Calculations!N63,'cfs limit calculation'!M$17),IF('cfs limit calculation'!M$19&gt;Calculations!N63,Calculations!N63,'cfs limit calculation'!M$19))</f>
        <v>101.92883841661259</v>
      </c>
      <c r="O64" s="85"/>
      <c r="P64" s="189"/>
      <c r="Q64" s="51"/>
      <c r="R64" s="90"/>
      <c r="S64" s="90"/>
      <c r="T64" s="90"/>
      <c r="U64" s="61"/>
      <c r="V64" s="90"/>
      <c r="W64" s="90"/>
      <c r="X64" s="90"/>
      <c r="Y64" s="15"/>
      <c r="Z64" s="15"/>
      <c r="AA64" s="15"/>
      <c r="AB64" s="15"/>
    </row>
    <row r="65" spans="1:28" ht="15" customHeight="1" thickBot="1" x14ac:dyDescent="0.35">
      <c r="A65" s="44"/>
      <c r="B65" s="50" t="s">
        <v>42</v>
      </c>
      <c r="C65" s="265">
        <f t="shared" ref="C65:N65" si="122">+C64/C62</f>
        <v>0.61789830508474575</v>
      </c>
      <c r="D65" s="266">
        <f t="shared" si="122"/>
        <v>0.56308474576271172</v>
      </c>
      <c r="E65" s="266">
        <f t="shared" si="122"/>
        <v>0.61789830508474575</v>
      </c>
      <c r="F65" s="266">
        <f t="shared" si="122"/>
        <v>0.59796610169491515</v>
      </c>
      <c r="G65" s="266">
        <f t="shared" si="122"/>
        <v>0.61789830508474575</v>
      </c>
      <c r="H65" s="266">
        <f t="shared" si="122"/>
        <v>0.59796610169491515</v>
      </c>
      <c r="I65" s="266">
        <f t="shared" si="122"/>
        <v>0.49885719085575853</v>
      </c>
      <c r="J65" s="266">
        <f t="shared" si="122"/>
        <v>0.14928538975623856</v>
      </c>
      <c r="K65" s="266">
        <f t="shared" si="122"/>
        <v>3.0862725522053814E-3</v>
      </c>
      <c r="L65" s="266">
        <f t="shared" si="122"/>
        <v>0.11061628875233792</v>
      </c>
      <c r="M65" s="266">
        <f t="shared" si="122"/>
        <v>0.51586251606605082</v>
      </c>
      <c r="N65" s="267">
        <f t="shared" si="122"/>
        <v>0.38291117758679211</v>
      </c>
      <c r="O65" s="78"/>
      <c r="P65" s="191"/>
      <c r="Q65" s="51"/>
      <c r="R65" s="90"/>
      <c r="S65" s="90"/>
      <c r="T65" s="90"/>
      <c r="U65" s="61"/>
      <c r="V65" s="90"/>
      <c r="W65" s="90"/>
      <c r="X65" s="90"/>
      <c r="Y65" s="15"/>
      <c r="Z65" s="15"/>
      <c r="AA65" s="15"/>
      <c r="AB65" s="15"/>
    </row>
    <row r="66" spans="1:28" ht="15" customHeight="1" x14ac:dyDescent="0.3">
      <c r="A66" s="83">
        <v>1999</v>
      </c>
      <c r="B66" s="58" t="s">
        <v>45</v>
      </c>
      <c r="C66" s="47">
        <f>+'Monthly Historical Flow-Gen'!B37</f>
        <v>1240.0528846153845</v>
      </c>
      <c r="D66" s="46">
        <f>+'Monthly Historical Flow-Gen'!C37</f>
        <v>1331.4158653846152</v>
      </c>
      <c r="E66" s="46">
        <f>+'Monthly Historical Flow-Gen'!D37</f>
        <v>1441.40625</v>
      </c>
      <c r="F66" s="46">
        <f>+'Monthly Historical Flow-Gen'!E37</f>
        <v>557.31418269230767</v>
      </c>
      <c r="G66" s="46">
        <f>+'Monthly Historical Flow-Gen'!F37</f>
        <v>423.46298076923074</v>
      </c>
      <c r="H66" s="46">
        <f>+'Monthly Historical Flow-Gen'!G37</f>
        <v>121.078125</v>
      </c>
      <c r="I66" s="46">
        <f>+'Monthly Historical Flow-Gen'!H37</f>
        <v>106.79711538461538</v>
      </c>
      <c r="J66" s="46">
        <f>+'Monthly Historical Flow-Gen'!I37</f>
        <v>63.421875</v>
      </c>
      <c r="K66" s="46">
        <f>+'Monthly Historical Flow-Gen'!J37</f>
        <v>384.25673076923073</v>
      </c>
      <c r="L66" s="46">
        <f>+'Monthly Historical Flow-Gen'!K37</f>
        <v>416.89903846153845</v>
      </c>
      <c r="M66" s="46">
        <f>+'Monthly Historical Flow-Gen'!L37</f>
        <v>409.18197115384612</v>
      </c>
      <c r="N66" s="45">
        <f>+'Monthly Historical Flow-Gen'!M37</f>
        <v>533.09855769230762</v>
      </c>
      <c r="O66" s="85">
        <f>+A66</f>
        <v>1999</v>
      </c>
      <c r="P66" s="189"/>
      <c r="Q66" s="51"/>
      <c r="R66" s="90"/>
      <c r="S66" s="90"/>
      <c r="T66" s="90"/>
      <c r="U66" s="61"/>
      <c r="V66" s="90"/>
      <c r="W66" s="90"/>
      <c r="X66" s="90"/>
      <c r="Y66" s="15"/>
      <c r="Z66" s="15"/>
      <c r="AA66" s="15"/>
      <c r="AB66" s="15"/>
    </row>
    <row r="67" spans="1:28" ht="15" customHeight="1" x14ac:dyDescent="0.3">
      <c r="A67" s="83"/>
      <c r="B67" s="48" t="s">
        <v>43</v>
      </c>
      <c r="C67" s="47">
        <f>IF(C66&gt;$O67,$O67,C66)</f>
        <v>927.14285714285722</v>
      </c>
      <c r="D67" s="46">
        <f t="shared" ref="D67" si="123">IF(D66&gt;$O67,$O67,D66)</f>
        <v>927.14285714285722</v>
      </c>
      <c r="E67" s="46">
        <f t="shared" ref="E67" si="124">IF(E66&gt;$O67,$O67,E66)</f>
        <v>927.14285714285722</v>
      </c>
      <c r="F67" s="46">
        <f t="shared" ref="F67" si="125">IF(F66&gt;$O67,$O67,F66)</f>
        <v>557.31418269230767</v>
      </c>
      <c r="G67" s="46">
        <f t="shared" ref="G67" si="126">IF(G66&gt;$O67,$O67,G66)</f>
        <v>423.46298076923074</v>
      </c>
      <c r="H67" s="46">
        <f t="shared" ref="H67" si="127">IF(H66&gt;$O67,$O67,H66)</f>
        <v>121.078125</v>
      </c>
      <c r="I67" s="46">
        <f t="shared" ref="I67" si="128">IF(I66&gt;$O67,$O67,I66)</f>
        <v>106.79711538461538</v>
      </c>
      <c r="J67" s="46">
        <f t="shared" ref="J67" si="129">IF(J66&gt;$O67,$O67,J66)</f>
        <v>63.421875</v>
      </c>
      <c r="K67" s="46">
        <f t="shared" ref="K67" si="130">IF(K66&gt;$O67,$O67,K66)</f>
        <v>384.25673076923073</v>
      </c>
      <c r="L67" s="46">
        <f t="shared" ref="L67" si="131">IF(L66&gt;$O67,$O67,L66)</f>
        <v>416.89903846153845</v>
      </c>
      <c r="M67" s="46">
        <f t="shared" ref="M67" si="132">IF(M66&gt;$O67,$O67,M66)</f>
        <v>409.18197115384612</v>
      </c>
      <c r="N67" s="45">
        <f t="shared" ref="N67" si="133">IF(N66&gt;$O67,$O67,N66)</f>
        <v>533.09855769230762</v>
      </c>
      <c r="O67" s="185">
        <f>IF(P67="Pre",'cfs limit calculation'!$E$6,'cfs limit calculation'!$E$11)</f>
        <v>927.14285714285722</v>
      </c>
      <c r="P67" s="190" t="str">
        <f>+P62</f>
        <v>Pre</v>
      </c>
      <c r="Q67" s="51"/>
      <c r="R67" s="90"/>
      <c r="S67" s="90"/>
      <c r="T67" s="90"/>
      <c r="U67" s="61"/>
      <c r="V67" s="90"/>
      <c r="W67" s="90"/>
      <c r="X67" s="90"/>
      <c r="Y67" s="15"/>
      <c r="Z67" s="15"/>
      <c r="AA67" s="15"/>
      <c r="AB67" s="15"/>
    </row>
    <row r="68" spans="1:28" ht="15" customHeight="1" x14ac:dyDescent="0.3">
      <c r="A68" s="83"/>
      <c r="B68" s="8" t="s">
        <v>44</v>
      </c>
      <c r="C68" s="47">
        <f>+'Monthly Historical Flow-Gen'!B63</f>
        <v>863.06536604987934</v>
      </c>
      <c r="D68" s="46">
        <f>+'Monthly Historical Flow-Gen'!C63</f>
        <v>936.19699837750125</v>
      </c>
      <c r="E68" s="46">
        <f>+'Monthly Historical Flow-Gen'!D63</f>
        <v>953.09849198868983</v>
      </c>
      <c r="F68" s="46">
        <f>+'Monthly Historical Flow-Gen'!E63</f>
        <v>373.97985307621673</v>
      </c>
      <c r="G68" s="46">
        <f>+'Monthly Historical Flow-Gen'!F63</f>
        <v>337.66942971887556</v>
      </c>
      <c r="H68" s="46">
        <f>+'Monthly Historical Flow-Gen'!G63</f>
        <v>81.053400083437637</v>
      </c>
      <c r="I68" s="46">
        <f>+'Monthly Historical Flow-Gen'!H63</f>
        <v>53.276508972267543</v>
      </c>
      <c r="J68" s="46">
        <f>+'Monthly Historical Flow-Gen'!I63</f>
        <v>9.4679593284464421</v>
      </c>
      <c r="K68" s="46">
        <f>+'Monthly Historical Flow-Gen'!J63</f>
        <v>1.1859210011732497</v>
      </c>
      <c r="L68" s="46">
        <f>+'Monthly Historical Flow-Gen'!K63</f>
        <v>46.115824419033572</v>
      </c>
      <c r="M68" s="46">
        <f>+'Monthly Historical Flow-Gen'!L63</f>
        <v>211.08164116828928</v>
      </c>
      <c r="N68" s="45">
        <f>+'Monthly Historical Flow-Gen'!M63</f>
        <v>204.12939649578195</v>
      </c>
      <c r="O68" s="85"/>
      <c r="P68" s="189"/>
      <c r="Q68" s="51"/>
      <c r="R68" s="90"/>
      <c r="S68" s="90"/>
      <c r="T68" s="90"/>
      <c r="U68" s="61"/>
      <c r="V68" s="90"/>
      <c r="W68" s="90"/>
      <c r="X68" s="90"/>
      <c r="Y68" s="15"/>
      <c r="Z68" s="15"/>
      <c r="AA68" s="15"/>
      <c r="AB68" s="15"/>
    </row>
    <row r="69" spans="1:28" ht="15" customHeight="1" x14ac:dyDescent="0.25">
      <c r="B69" s="22" t="s">
        <v>67</v>
      </c>
      <c r="C69" s="47">
        <f>IF($P67="Pre",IF('cfs limit calculation'!B$17&gt;Calculations!C68,Calculations!C68,'cfs limit calculation'!B$17),IF('cfs limit calculation'!B$19&gt;Calculations!C68,Calculations!C68,'cfs limit calculation'!B$19))</f>
        <v>572.88</v>
      </c>
      <c r="D69" s="46">
        <f>IF($P67="Pre",IF('cfs limit calculation'!C$17&gt;Calculations!D68,Calculations!D68,'cfs limit calculation'!C$17),IF('cfs limit calculation'!C$19&gt;Calculations!D68,Calculations!D68,'cfs limit calculation'!C$19))</f>
        <v>522.05999999999995</v>
      </c>
      <c r="E69" s="46">
        <f>IF($P67="Pre",IF('cfs limit calculation'!D$17&gt;Calculations!E68,Calculations!E68,'cfs limit calculation'!D$17),IF('cfs limit calculation'!D$19&gt;Calculations!E68,Calculations!E68,'cfs limit calculation'!D$19))</f>
        <v>572.88</v>
      </c>
      <c r="F69" s="46">
        <f>IF($P67="Pre",IF('cfs limit calculation'!E$17&gt;Calculations!F68,Calculations!F68,'cfs limit calculation'!E$17),IF('cfs limit calculation'!E$19&gt;Calculations!F68,Calculations!F68,'cfs limit calculation'!E$19))</f>
        <v>373.97985307621673</v>
      </c>
      <c r="G69" s="46">
        <f>IF($P67="Pre",IF('cfs limit calculation'!F$17&gt;Calculations!G68,Calculations!G68,'cfs limit calculation'!F$17),IF('cfs limit calculation'!F$19&gt;Calculations!G68,Calculations!G68,'cfs limit calculation'!F$19))</f>
        <v>337.66942971887556</v>
      </c>
      <c r="H69" s="46">
        <f>IF($P67="Pre",IF('cfs limit calculation'!G$17&gt;Calculations!H68,Calculations!H68,'cfs limit calculation'!G$17),IF('cfs limit calculation'!G$19&gt;Calculations!H68,Calculations!H68,'cfs limit calculation'!G$19))</f>
        <v>81.053400083437637</v>
      </c>
      <c r="I69" s="46">
        <f>IF($P67="Pre",IF('cfs limit calculation'!H$17&gt;Calculations!I68,Calculations!I68,'cfs limit calculation'!H$17),IF('cfs limit calculation'!H$19&gt;Calculations!I68,Calculations!I68,'cfs limit calculation'!H$19))</f>
        <v>53.276508972267543</v>
      </c>
      <c r="J69" s="46">
        <f>IF($P67="Pre",IF('cfs limit calculation'!I$17&gt;Calculations!J68,Calculations!J68,'cfs limit calculation'!I$17),IF('cfs limit calculation'!I$19&gt;Calculations!J68,Calculations!J68,'cfs limit calculation'!I$19))</f>
        <v>9.4679593284464421</v>
      </c>
      <c r="K69" s="46">
        <f>IF($P67="Pre",IF('cfs limit calculation'!J$17&gt;Calculations!K68,Calculations!K68,'cfs limit calculation'!J$17),IF('cfs limit calculation'!J$19&gt;Calculations!K68,Calculations!K68,'cfs limit calculation'!J$19))</f>
        <v>1.1859210011732497</v>
      </c>
      <c r="L69" s="46">
        <f>IF($P67="Pre",IF('cfs limit calculation'!K$17&gt;Calculations!L68,Calculations!L68,'cfs limit calculation'!K$17),IF('cfs limit calculation'!K$19&gt;Calculations!L68,Calculations!L68,'cfs limit calculation'!K$19))</f>
        <v>46.115824419033572</v>
      </c>
      <c r="M69" s="46">
        <f>IF($P67="Pre",IF('cfs limit calculation'!L$17&gt;Calculations!M68,Calculations!M68,'cfs limit calculation'!L$17),IF('cfs limit calculation'!L$19&gt;Calculations!M68,Calculations!M68,'cfs limit calculation'!L$19))</f>
        <v>211.08164116828928</v>
      </c>
      <c r="N69" s="45">
        <f>IF($P67="Pre",IF('cfs limit calculation'!M$17&gt;Calculations!N68,Calculations!N68,'cfs limit calculation'!M$17),IF('cfs limit calculation'!M$19&gt;Calculations!N68,Calculations!N68,'cfs limit calculation'!M$19))</f>
        <v>204.12939649578195</v>
      </c>
      <c r="O69" s="85"/>
      <c r="P69" s="189"/>
      <c r="Q69" s="51"/>
      <c r="R69" s="90"/>
      <c r="S69" s="90"/>
      <c r="T69" s="90"/>
      <c r="U69" s="64"/>
      <c r="V69" s="90"/>
      <c r="W69" s="90"/>
      <c r="X69" s="90"/>
      <c r="Y69" s="15"/>
      <c r="Z69" s="15"/>
      <c r="AA69" s="15"/>
      <c r="AB69" s="15"/>
    </row>
    <row r="70" spans="1:28" ht="15" customHeight="1" thickBot="1" x14ac:dyDescent="0.35">
      <c r="A70" s="44"/>
      <c r="B70" s="50" t="s">
        <v>42</v>
      </c>
      <c r="C70" s="265">
        <f t="shared" ref="C70:N70" si="134">+C69/C67</f>
        <v>0.61789830508474575</v>
      </c>
      <c r="D70" s="266">
        <f t="shared" si="134"/>
        <v>0.56308474576271172</v>
      </c>
      <c r="E70" s="266">
        <f t="shared" si="134"/>
        <v>0.61789830508474575</v>
      </c>
      <c r="F70" s="266">
        <f t="shared" si="134"/>
        <v>0.67103954051478076</v>
      </c>
      <c r="G70" s="266">
        <f t="shared" si="134"/>
        <v>0.7974001153666157</v>
      </c>
      <c r="H70" s="266">
        <f t="shared" si="134"/>
        <v>0.66943058528068256</v>
      </c>
      <c r="I70" s="266">
        <f t="shared" si="134"/>
        <v>0.49885719085575853</v>
      </c>
      <c r="J70" s="266">
        <f t="shared" si="134"/>
        <v>0.14928538975623856</v>
      </c>
      <c r="K70" s="266">
        <f t="shared" si="134"/>
        <v>3.086272552205381E-3</v>
      </c>
      <c r="L70" s="266">
        <f t="shared" si="134"/>
        <v>0.11061628875233792</v>
      </c>
      <c r="M70" s="266">
        <f t="shared" si="134"/>
        <v>0.51586251606605082</v>
      </c>
      <c r="N70" s="267">
        <f t="shared" si="134"/>
        <v>0.38291117758679211</v>
      </c>
      <c r="O70" s="78"/>
      <c r="P70" s="191"/>
      <c r="Q70" s="51"/>
      <c r="R70" s="90"/>
      <c r="S70" s="90"/>
      <c r="T70" s="90"/>
      <c r="U70" s="61"/>
      <c r="V70" s="90"/>
      <c r="W70" s="90"/>
      <c r="X70" s="90"/>
      <c r="Y70" s="15"/>
      <c r="Z70" s="15"/>
      <c r="AA70" s="15"/>
      <c r="AB70" s="15"/>
    </row>
    <row r="71" spans="1:28" ht="15" customHeight="1" x14ac:dyDescent="0.3">
      <c r="A71" s="83">
        <v>2000</v>
      </c>
      <c r="B71" s="58" t="s">
        <v>45</v>
      </c>
      <c r="C71" s="47">
        <f>+'Monthly Historical Flow-Gen'!B38</f>
        <v>615.59134615384608</v>
      </c>
      <c r="D71" s="46">
        <f>+'Monthly Historical Flow-Gen'!C38</f>
        <v>826.96802884615374</v>
      </c>
      <c r="E71" s="46">
        <f>+'Monthly Historical Flow-Gen'!D38</f>
        <v>1218.7644230769231</v>
      </c>
      <c r="F71" s="46">
        <f>+'Monthly Historical Flow-Gen'!E38</f>
        <v>1537.2043269230769</v>
      </c>
      <c r="G71" s="46">
        <f>+'Monthly Historical Flow-Gen'!F38</f>
        <v>911.85576923076917</v>
      </c>
      <c r="H71" s="46">
        <f>+'Monthly Historical Flow-Gen'!G38</f>
        <v>954.43269230769226</v>
      </c>
      <c r="I71" s="46">
        <f>+'Monthly Historical Flow-Gen'!H38</f>
        <v>277.63701923076923</v>
      </c>
      <c r="J71" s="46">
        <f>+'Monthly Historical Flow-Gen'!I38</f>
        <v>241.09182692307692</v>
      </c>
      <c r="K71" s="46">
        <f>+'Monthly Historical Flow-Gen'!J38</f>
        <v>167.02572115384615</v>
      </c>
      <c r="L71" s="46">
        <f>+'Monthly Historical Flow-Gen'!K38</f>
        <v>212.9733173076923</v>
      </c>
      <c r="M71" s="46">
        <f>+'Monthly Historical Flow-Gen'!L38</f>
        <v>349.84038461538455</v>
      </c>
      <c r="N71" s="45">
        <f>+'Monthly Historical Flow-Gen'!M38</f>
        <v>615.85745192307684</v>
      </c>
      <c r="O71" s="86">
        <f>+A71</f>
        <v>2000</v>
      </c>
      <c r="P71" s="188"/>
      <c r="Q71" s="51"/>
      <c r="R71" s="90"/>
      <c r="S71" s="90"/>
      <c r="T71" s="90"/>
      <c r="U71" s="61"/>
      <c r="V71" s="90"/>
      <c r="W71" s="90"/>
      <c r="X71" s="90"/>
      <c r="Y71" s="15"/>
      <c r="Z71" s="15"/>
      <c r="AA71" s="15"/>
      <c r="AB71" s="15"/>
    </row>
    <row r="72" spans="1:28" ht="15" customHeight="1" x14ac:dyDescent="0.3">
      <c r="A72" s="83"/>
      <c r="B72" s="48" t="s">
        <v>43</v>
      </c>
      <c r="C72" s="47">
        <f>IF(C71&gt;$O72,$O72,C71)</f>
        <v>615.59134615384608</v>
      </c>
      <c r="D72" s="46">
        <f t="shared" ref="D72" si="135">IF(D71&gt;$O72,$O72,D71)</f>
        <v>826.96802884615374</v>
      </c>
      <c r="E72" s="46">
        <f t="shared" ref="E72" si="136">IF(E71&gt;$O72,$O72,E71)</f>
        <v>927.14285714285722</v>
      </c>
      <c r="F72" s="46">
        <f t="shared" ref="F72" si="137">IF(F71&gt;$O72,$O72,F71)</f>
        <v>927.14285714285722</v>
      </c>
      <c r="G72" s="46">
        <f t="shared" ref="G72" si="138">IF(G71&gt;$O72,$O72,G71)</f>
        <v>911.85576923076917</v>
      </c>
      <c r="H72" s="46">
        <f t="shared" ref="H72" si="139">IF(H71&gt;$O72,$O72,H71)</f>
        <v>927.14285714285722</v>
      </c>
      <c r="I72" s="46">
        <f t="shared" ref="I72" si="140">IF(I71&gt;$O72,$O72,I71)</f>
        <v>277.63701923076923</v>
      </c>
      <c r="J72" s="46">
        <f t="shared" ref="J72" si="141">IF(J71&gt;$O72,$O72,J71)</f>
        <v>241.09182692307692</v>
      </c>
      <c r="K72" s="46">
        <f t="shared" ref="K72" si="142">IF(K71&gt;$O72,$O72,K71)</f>
        <v>167.02572115384615</v>
      </c>
      <c r="L72" s="46">
        <f t="shared" ref="L72" si="143">IF(L71&gt;$O72,$O72,L71)</f>
        <v>212.9733173076923</v>
      </c>
      <c r="M72" s="46">
        <f t="shared" ref="M72" si="144">IF(M71&gt;$O72,$O72,M71)</f>
        <v>349.84038461538455</v>
      </c>
      <c r="N72" s="45">
        <f t="shared" ref="N72" si="145">IF(N71&gt;$O72,$O72,N71)</f>
        <v>615.85745192307684</v>
      </c>
      <c r="O72" s="185">
        <f>IF(P72="Pre",'cfs limit calculation'!$E$6,'cfs limit calculation'!$E$11)</f>
        <v>927.14285714285722</v>
      </c>
      <c r="P72" s="190" t="str">
        <f>+P67</f>
        <v>Pre</v>
      </c>
      <c r="Q72" s="51"/>
      <c r="R72" s="90"/>
      <c r="S72" s="90"/>
      <c r="T72" s="90"/>
      <c r="U72" s="61"/>
      <c r="V72" s="90"/>
      <c r="W72" s="90"/>
      <c r="X72" s="90"/>
      <c r="Y72" s="15"/>
      <c r="Z72" s="15"/>
      <c r="AA72" s="15"/>
      <c r="AB72" s="15"/>
    </row>
    <row r="73" spans="1:28" ht="15" customHeight="1" x14ac:dyDescent="0.3">
      <c r="A73" s="83"/>
      <c r="B73" s="8" t="s">
        <v>44</v>
      </c>
      <c r="C73" s="47">
        <f>+'Monthly Historical Flow-Gen'!B64</f>
        <v>428.44589702333059</v>
      </c>
      <c r="D73" s="46">
        <f>+'Monthly Historical Flow-Gen'!C64</f>
        <v>581.48998107084901</v>
      </c>
      <c r="E73" s="46">
        <f>+'Monthly Historical Flow-Gen'!D64</f>
        <v>805.88143261074458</v>
      </c>
      <c r="F73" s="46">
        <f>+'Monthly Historical Flow-Gen'!E64</f>
        <v>1031.5248852157943</v>
      </c>
      <c r="G73" s="46">
        <f>+'Monthly Historical Flow-Gen'!F64</f>
        <v>727.11389558232941</v>
      </c>
      <c r="H73" s="46">
        <f>+'Monthly Historical Flow-Gen'!G64</f>
        <v>638.92643582255607</v>
      </c>
      <c r="I73" s="46">
        <f>+'Monthly Historical Flow-Gen'!H64</f>
        <v>138.50122349102773</v>
      </c>
      <c r="J73" s="46">
        <f>+'Monthly Historical Flow-Gen'!I64</f>
        <v>35.991487349255145</v>
      </c>
      <c r="K73" s="46">
        <f>+'Monthly Historical Flow-Gen'!J64</f>
        <v>0.5154868987094251</v>
      </c>
      <c r="L73" s="46">
        <f>+'Monthly Historical Flow-Gen'!K64</f>
        <v>23.558317963850978</v>
      </c>
      <c r="M73" s="46">
        <f>+'Monthly Historical Flow-Gen'!L64</f>
        <v>180.46954102920722</v>
      </c>
      <c r="N73" s="45">
        <f>+'Monthly Historical Flow-Gen'!M64</f>
        <v>235.81870214146656</v>
      </c>
      <c r="O73" s="85"/>
      <c r="P73" s="189"/>
      <c r="Q73" s="51"/>
      <c r="R73" s="90"/>
      <c r="S73" s="90"/>
      <c r="T73" s="90"/>
      <c r="U73" s="61"/>
      <c r="V73" s="90"/>
      <c r="W73" s="90"/>
      <c r="X73" s="90"/>
      <c r="Y73" s="15"/>
      <c r="Z73" s="15"/>
      <c r="AA73" s="15"/>
      <c r="AB73" s="15"/>
    </row>
    <row r="74" spans="1:28" ht="15" customHeight="1" x14ac:dyDescent="0.3">
      <c r="B74" s="22" t="s">
        <v>67</v>
      </c>
      <c r="C74" s="47">
        <f>IF($P72="Pre",IF('cfs limit calculation'!B$17&gt;Calculations!C73,Calculations!C73,'cfs limit calculation'!B$17),IF('cfs limit calculation'!B$19&gt;Calculations!C73,Calculations!C73,'cfs limit calculation'!B$19))</f>
        <v>428.44589702333059</v>
      </c>
      <c r="D74" s="46">
        <f>IF($P72="Pre",IF('cfs limit calculation'!C$17&gt;Calculations!D73,Calculations!D73,'cfs limit calculation'!C$17),IF('cfs limit calculation'!C$19&gt;Calculations!D73,Calculations!D73,'cfs limit calculation'!C$19))</f>
        <v>522.05999999999995</v>
      </c>
      <c r="E74" s="46">
        <f>IF($P72="Pre",IF('cfs limit calculation'!D$17&gt;Calculations!E73,Calculations!E73,'cfs limit calculation'!D$17),IF('cfs limit calculation'!D$19&gt;Calculations!E73,Calculations!E73,'cfs limit calculation'!D$19))</f>
        <v>572.88</v>
      </c>
      <c r="F74" s="46">
        <f>IF($P72="Pre",IF('cfs limit calculation'!E$17&gt;Calculations!F73,Calculations!F73,'cfs limit calculation'!E$17),IF('cfs limit calculation'!E$19&gt;Calculations!F73,Calculations!F73,'cfs limit calculation'!E$19))</f>
        <v>554.4</v>
      </c>
      <c r="G74" s="46">
        <f>IF($P72="Pre",IF('cfs limit calculation'!F$17&gt;Calculations!G73,Calculations!G73,'cfs limit calculation'!F$17),IF('cfs limit calculation'!F$19&gt;Calculations!G73,Calculations!G73,'cfs limit calculation'!F$19))</f>
        <v>572.88</v>
      </c>
      <c r="H74" s="46">
        <f>IF($P72="Pre",IF('cfs limit calculation'!G$17&gt;Calculations!H73,Calculations!H73,'cfs limit calculation'!G$17),IF('cfs limit calculation'!G$19&gt;Calculations!H73,Calculations!H73,'cfs limit calculation'!G$19))</f>
        <v>554.4</v>
      </c>
      <c r="I74" s="46">
        <f>IF($P72="Pre",IF('cfs limit calculation'!H$17&gt;Calculations!I73,Calculations!I73,'cfs limit calculation'!H$17),IF('cfs limit calculation'!H$19&gt;Calculations!I73,Calculations!I73,'cfs limit calculation'!H$19))</f>
        <v>138.50122349102773</v>
      </c>
      <c r="J74" s="46">
        <f>IF($P72="Pre",IF('cfs limit calculation'!I$17&gt;Calculations!J73,Calculations!J73,'cfs limit calculation'!I$17),IF('cfs limit calculation'!I$19&gt;Calculations!J73,Calculations!J73,'cfs limit calculation'!I$19))</f>
        <v>35.991487349255145</v>
      </c>
      <c r="K74" s="46">
        <f>IF($P72="Pre",IF('cfs limit calculation'!J$17&gt;Calculations!K73,Calculations!K73,'cfs limit calculation'!J$17),IF('cfs limit calculation'!J$19&gt;Calculations!K73,Calculations!K73,'cfs limit calculation'!J$19))</f>
        <v>0.5154868987094251</v>
      </c>
      <c r="L74" s="46">
        <f>IF($P72="Pre",IF('cfs limit calculation'!K$17&gt;Calculations!L73,Calculations!L73,'cfs limit calculation'!K$17),IF('cfs limit calculation'!K$19&gt;Calculations!L73,Calculations!L73,'cfs limit calculation'!K$19))</f>
        <v>23.558317963850978</v>
      </c>
      <c r="M74" s="46">
        <f>IF($P72="Pre",IF('cfs limit calculation'!L$17&gt;Calculations!M73,Calculations!M73,'cfs limit calculation'!L$17),IF('cfs limit calculation'!L$19&gt;Calculations!M73,Calculations!M73,'cfs limit calculation'!L$19))</f>
        <v>180.46954102920722</v>
      </c>
      <c r="N74" s="45">
        <f>IF($P72="Pre",IF('cfs limit calculation'!M$17&gt;Calculations!N73,Calculations!N73,'cfs limit calculation'!M$17),IF('cfs limit calculation'!M$19&gt;Calculations!N73,Calculations!N73,'cfs limit calculation'!M$19))</f>
        <v>235.81870214146656</v>
      </c>
      <c r="O74" s="65"/>
      <c r="P74" s="48"/>
      <c r="Q74" s="51"/>
      <c r="R74" s="90"/>
      <c r="S74" s="90"/>
      <c r="T74" s="90"/>
      <c r="U74" s="61"/>
      <c r="V74" s="90"/>
      <c r="W74" s="90"/>
      <c r="X74" s="90"/>
      <c r="Y74" s="15"/>
      <c r="Z74" s="15"/>
      <c r="AA74" s="15"/>
      <c r="AB74" s="15"/>
    </row>
    <row r="75" spans="1:28" ht="15" customHeight="1" thickBot="1" x14ac:dyDescent="0.35">
      <c r="A75" s="78"/>
      <c r="B75" s="50" t="s">
        <v>42</v>
      </c>
      <c r="C75" s="265">
        <f t="shared" ref="C75:N75" si="146">+C74/C72</f>
        <v>0.69599077326251946</v>
      </c>
      <c r="D75" s="266">
        <f t="shared" si="146"/>
        <v>0.6312940546545871</v>
      </c>
      <c r="E75" s="266">
        <f t="shared" si="146"/>
        <v>0.61789830508474575</v>
      </c>
      <c r="F75" s="266">
        <f t="shared" si="146"/>
        <v>0.59796610169491515</v>
      </c>
      <c r="G75" s="266">
        <f t="shared" si="146"/>
        <v>0.62825725222232776</v>
      </c>
      <c r="H75" s="266">
        <f t="shared" si="146"/>
        <v>0.59796610169491515</v>
      </c>
      <c r="I75" s="266">
        <f t="shared" si="146"/>
        <v>0.49885719085575847</v>
      </c>
      <c r="J75" s="266">
        <f t="shared" si="146"/>
        <v>0.14928538975623856</v>
      </c>
      <c r="K75" s="266">
        <f t="shared" si="146"/>
        <v>3.0862725522053814E-3</v>
      </c>
      <c r="L75" s="266">
        <f t="shared" si="146"/>
        <v>0.11061628875233792</v>
      </c>
      <c r="M75" s="266">
        <f t="shared" si="146"/>
        <v>0.51586251606605082</v>
      </c>
      <c r="N75" s="267">
        <f t="shared" si="146"/>
        <v>0.38291117758679211</v>
      </c>
      <c r="O75" s="78"/>
      <c r="P75" s="191"/>
      <c r="Q75" s="51"/>
      <c r="R75" s="90"/>
      <c r="S75" s="90"/>
      <c r="T75" s="90"/>
      <c r="U75" s="61"/>
      <c r="V75" s="90"/>
      <c r="W75" s="90"/>
      <c r="X75" s="90"/>
      <c r="Y75" s="15"/>
      <c r="Z75" s="15"/>
      <c r="AA75" s="15"/>
      <c r="AB75" s="15"/>
    </row>
    <row r="76" spans="1:28" ht="15" customHeight="1" x14ac:dyDescent="0.3">
      <c r="A76" s="86">
        <v>2001</v>
      </c>
      <c r="B76" s="58" t="s">
        <v>45</v>
      </c>
      <c r="C76" s="47">
        <f>+'Monthly Historical Flow-Gen'!B39</f>
        <v>369.17740384615382</v>
      </c>
      <c r="D76" s="92">
        <f>+'Monthly Historical Flow-Gen'!C39</f>
        <v>574.43365384615379</v>
      </c>
      <c r="E76" s="92">
        <f>+'Monthly Historical Flow-Gen'!D39</f>
        <v>2060.5456730769229</v>
      </c>
      <c r="F76" s="92">
        <f>+'Monthly Historical Flow-Gen'!E39</f>
        <v>1703.0769230769231</v>
      </c>
      <c r="G76" s="92">
        <f>+'Monthly Historical Flow-Gen'!F39</f>
        <v>392.86081730769229</v>
      </c>
      <c r="H76" s="92">
        <f>+'Monthly Historical Flow-Gen'!G39</f>
        <v>900.32451923076917</v>
      </c>
      <c r="I76" s="92">
        <f>+'Monthly Historical Flow-Gen'!H39</f>
        <v>358.35576923076923</v>
      </c>
      <c r="J76" s="92">
        <f>+'Monthly Historical Flow-Gen'!I39</f>
        <v>211.64278846153846</v>
      </c>
      <c r="K76" s="92">
        <f>+'Monthly Historical Flow-Gen'!J39</f>
        <v>132.609375</v>
      </c>
      <c r="L76" s="92">
        <f>+'Monthly Historical Flow-Gen'!K39</f>
        <v>132.43197115384615</v>
      </c>
      <c r="M76" s="92">
        <f>+'Monthly Historical Flow-Gen'!L39</f>
        <v>139.52812500000002</v>
      </c>
      <c r="N76" s="93">
        <f>+'Monthly Historical Flow-Gen'!M39</f>
        <v>197.09567307692305</v>
      </c>
      <c r="O76" s="85">
        <f>+A76</f>
        <v>2001</v>
      </c>
      <c r="P76" s="189"/>
      <c r="Q76" s="15"/>
      <c r="R76" s="90"/>
      <c r="S76" s="90"/>
      <c r="T76" s="90"/>
      <c r="U76" s="61"/>
      <c r="V76" s="90"/>
      <c r="W76" s="90"/>
      <c r="X76" s="90"/>
      <c r="Y76" s="15"/>
      <c r="Z76" s="15"/>
      <c r="AA76" s="15"/>
      <c r="AB76" s="15"/>
    </row>
    <row r="77" spans="1:28" ht="15" customHeight="1" x14ac:dyDescent="0.3">
      <c r="B77" s="48" t="s">
        <v>43</v>
      </c>
      <c r="C77" s="47">
        <f>IF(C76&gt;$O77,$O77,C76)</f>
        <v>369.17740384615382</v>
      </c>
      <c r="D77" s="46">
        <f t="shared" ref="D77" si="147">IF(D76&gt;$O77,$O77,D76)</f>
        <v>574.43365384615379</v>
      </c>
      <c r="E77" s="46">
        <f t="shared" ref="E77" si="148">IF(E76&gt;$O77,$O77,E76)</f>
        <v>927.14285714285722</v>
      </c>
      <c r="F77" s="46">
        <f t="shared" ref="F77" si="149">IF(F76&gt;$O77,$O77,F76)</f>
        <v>927.14285714285722</v>
      </c>
      <c r="G77" s="46">
        <f t="shared" ref="G77" si="150">IF(G76&gt;$O77,$O77,G76)</f>
        <v>392.86081730769229</v>
      </c>
      <c r="H77" s="46">
        <f t="shared" ref="H77" si="151">IF(H76&gt;$O77,$O77,H76)</f>
        <v>900.32451923076917</v>
      </c>
      <c r="I77" s="46">
        <f t="shared" ref="I77" si="152">IF(I76&gt;$O77,$O77,I76)</f>
        <v>358.35576923076923</v>
      </c>
      <c r="J77" s="46">
        <f t="shared" ref="J77" si="153">IF(J76&gt;$O77,$O77,J76)</f>
        <v>211.64278846153846</v>
      </c>
      <c r="K77" s="46">
        <f t="shared" ref="K77" si="154">IF(K76&gt;$O77,$O77,K76)</f>
        <v>132.609375</v>
      </c>
      <c r="L77" s="46">
        <f t="shared" ref="L77" si="155">IF(L76&gt;$O77,$O77,L76)</f>
        <v>132.43197115384615</v>
      </c>
      <c r="M77" s="46">
        <f t="shared" ref="M77" si="156">IF(M76&gt;$O77,$O77,M76)</f>
        <v>139.52812500000002</v>
      </c>
      <c r="N77" s="45">
        <f t="shared" ref="N77" si="157">IF(N76&gt;$O77,$O77,N76)</f>
        <v>197.09567307692305</v>
      </c>
      <c r="O77" s="185">
        <f>IF(P77="Pre",'cfs limit calculation'!$E$6,'cfs limit calculation'!$E$11)</f>
        <v>927.14285714285722</v>
      </c>
      <c r="P77" s="190" t="str">
        <f>+P72</f>
        <v>Pre</v>
      </c>
      <c r="Q77" s="15"/>
      <c r="R77" s="90"/>
      <c r="S77" s="90"/>
      <c r="T77" s="90"/>
      <c r="U77" s="61"/>
      <c r="V77" s="90"/>
      <c r="W77" s="90"/>
      <c r="X77" s="90"/>
      <c r="Y77" s="15"/>
      <c r="Z77" s="15"/>
      <c r="AA77" s="15"/>
      <c r="AB77" s="15"/>
    </row>
    <row r="78" spans="1:28" ht="15" customHeight="1" x14ac:dyDescent="0.35">
      <c r="A78" s="65"/>
      <c r="B78" s="8" t="s">
        <v>44</v>
      </c>
      <c r="C78" s="47">
        <f>+'Monthly Historical Flow-Gen'!B65</f>
        <v>256.94406677393403</v>
      </c>
      <c r="D78" s="73">
        <f>+'Monthly Historical Flow-Gen'!C65</f>
        <v>403.91817198485666</v>
      </c>
      <c r="E78" s="73">
        <f>+'Monthly Historical Flow-Gen'!D65</f>
        <v>1362.4909519321393</v>
      </c>
      <c r="F78" s="73">
        <f>+'Monthly Historical Flow-Gen'!E65</f>
        <v>1142.8319559228651</v>
      </c>
      <c r="G78" s="73">
        <f>+'Monthly Historical Flow-Gen'!F65</f>
        <v>313.26726104417679</v>
      </c>
      <c r="H78" s="73">
        <f>+'Monthly Historical Flow-Gen'!G65</f>
        <v>602.70476985120297</v>
      </c>
      <c r="I78" s="73">
        <f>+'Monthly Historical Flow-Gen'!H65</f>
        <v>178.76835236541601</v>
      </c>
      <c r="J78" s="73">
        <f>+'Monthly Historical Flow-Gen'!I65</f>
        <v>31.595176164577918</v>
      </c>
      <c r="K78" s="73">
        <f>+'Monthly Historical Flow-Gen'!J65</f>
        <v>0.40926867422761048</v>
      </c>
      <c r="L78" s="73">
        <f>+'Monthly Historical Flow-Gen'!K65</f>
        <v>14.649133161195131</v>
      </c>
      <c r="M78" s="73">
        <f>+'Monthly Historical Flow-Gen'!L65</f>
        <v>71.977329624478458</v>
      </c>
      <c r="N78" s="74">
        <f>+'Monthly Historical Flow-Gen'!M65</f>
        <v>75.470136275146004</v>
      </c>
      <c r="O78" s="85"/>
      <c r="P78" s="189"/>
      <c r="Q78" s="62"/>
      <c r="R78" s="90"/>
      <c r="S78" s="90"/>
      <c r="T78" s="90"/>
      <c r="U78" s="61"/>
      <c r="V78" s="90"/>
      <c r="W78" s="90"/>
      <c r="X78" s="90"/>
      <c r="Y78" s="15"/>
      <c r="Z78" s="15"/>
      <c r="AA78" s="15"/>
      <c r="AB78" s="15"/>
    </row>
    <row r="79" spans="1:28" ht="15" customHeight="1" x14ac:dyDescent="0.35">
      <c r="B79" s="22" t="s">
        <v>67</v>
      </c>
      <c r="C79" s="47">
        <f>IF($P77="Pre",IF('cfs limit calculation'!B$17&gt;Calculations!C78,Calculations!C78,'cfs limit calculation'!B$17),IF('cfs limit calculation'!B$19&gt;Calculations!C78,Calculations!C78,'cfs limit calculation'!B$19))</f>
        <v>256.94406677393403</v>
      </c>
      <c r="D79" s="32">
        <f>IF($P77="Pre",IF('cfs limit calculation'!C$17&gt;Calculations!D78,Calculations!D78,'cfs limit calculation'!C$17),IF('cfs limit calculation'!C$19&gt;Calculations!D78,Calculations!D78,'cfs limit calculation'!C$19))</f>
        <v>403.91817198485666</v>
      </c>
      <c r="E79" s="31">
        <f>IF($P77="Pre",IF('cfs limit calculation'!D$17&gt;Calculations!E78,Calculations!E78,'cfs limit calculation'!D$17),IF('cfs limit calculation'!D$19&gt;Calculations!E78,Calculations!E78,'cfs limit calculation'!D$19))</f>
        <v>572.88</v>
      </c>
      <c r="F79" s="32">
        <f>IF($P77="Pre",IF('cfs limit calculation'!E$17&gt;Calculations!F78,Calculations!F78,'cfs limit calculation'!E$17),IF('cfs limit calculation'!E$19&gt;Calculations!F78,Calculations!F78,'cfs limit calculation'!E$19))</f>
        <v>554.4</v>
      </c>
      <c r="G79" s="32">
        <f>IF($P77="Pre",IF('cfs limit calculation'!F$17&gt;Calculations!G78,Calculations!G78,'cfs limit calculation'!F$17),IF('cfs limit calculation'!F$19&gt;Calculations!G78,Calculations!G78,'cfs limit calculation'!F$19))</f>
        <v>313.26726104417679</v>
      </c>
      <c r="H79" s="32">
        <f>IF($P77="Pre",IF('cfs limit calculation'!G$17&gt;Calculations!H78,Calculations!H78,'cfs limit calculation'!G$17),IF('cfs limit calculation'!G$19&gt;Calculations!H78,Calculations!H78,'cfs limit calculation'!G$19))</f>
        <v>554.4</v>
      </c>
      <c r="I79" s="32">
        <f>IF($P77="Pre",IF('cfs limit calculation'!H$17&gt;Calculations!I78,Calculations!I78,'cfs limit calculation'!H$17),IF('cfs limit calculation'!H$19&gt;Calculations!I78,Calculations!I78,'cfs limit calculation'!H$19))</f>
        <v>178.76835236541601</v>
      </c>
      <c r="J79" s="32">
        <f>IF($P77="Pre",IF('cfs limit calculation'!I$17&gt;Calculations!J78,Calculations!J78,'cfs limit calculation'!I$17),IF('cfs limit calculation'!I$19&gt;Calculations!J78,Calculations!J78,'cfs limit calculation'!I$19))</f>
        <v>31.595176164577918</v>
      </c>
      <c r="K79" s="32">
        <f>IF($P77="Pre",IF('cfs limit calculation'!J$17&gt;Calculations!K78,Calculations!K78,'cfs limit calculation'!J$17),IF('cfs limit calculation'!J$19&gt;Calculations!K78,Calculations!K78,'cfs limit calculation'!J$19))</f>
        <v>0.40926867422761048</v>
      </c>
      <c r="L79" s="32">
        <f>IF($P77="Pre",IF('cfs limit calculation'!K$17&gt;Calculations!L78,Calculations!L78,'cfs limit calculation'!K$17),IF('cfs limit calculation'!K$19&gt;Calculations!L78,Calculations!L78,'cfs limit calculation'!K$19))</f>
        <v>14.649133161195131</v>
      </c>
      <c r="M79" s="32">
        <f>IF($P77="Pre",IF('cfs limit calculation'!L$17&gt;Calculations!M78,Calculations!M78,'cfs limit calculation'!L$17),IF('cfs limit calculation'!L$19&gt;Calculations!M78,Calculations!M78,'cfs limit calculation'!L$19))</f>
        <v>71.977329624478458</v>
      </c>
      <c r="N79" s="74">
        <f>IF($P77="Pre",IF('cfs limit calculation'!M$17&gt;Calculations!N78,Calculations!N78,'cfs limit calculation'!M$17),IF('cfs limit calculation'!M$19&gt;Calculations!N78,Calculations!N78,'cfs limit calculation'!M$19))</f>
        <v>75.470136275146004</v>
      </c>
      <c r="O79" s="196"/>
      <c r="P79" s="189"/>
      <c r="Q79" s="62"/>
      <c r="R79" s="61"/>
      <c r="S79" s="61"/>
      <c r="T79" s="61"/>
      <c r="U79" s="61"/>
      <c r="V79" s="15"/>
      <c r="W79" s="15"/>
      <c r="X79" s="15"/>
      <c r="Y79" s="15"/>
      <c r="Z79" s="15"/>
      <c r="AA79" s="15"/>
      <c r="AB79" s="15"/>
    </row>
    <row r="80" spans="1:28" ht="15" customHeight="1" thickBot="1" x14ac:dyDescent="0.4">
      <c r="A80" s="65"/>
      <c r="B80" s="50" t="s">
        <v>42</v>
      </c>
      <c r="C80" s="265">
        <f t="shared" ref="C80:N80" si="158">+C79/C77</f>
        <v>0.69599077326251946</v>
      </c>
      <c r="D80" s="272">
        <f t="shared" si="158"/>
        <v>0.70315896236301467</v>
      </c>
      <c r="E80" s="272">
        <f t="shared" si="158"/>
        <v>0.61789830508474575</v>
      </c>
      <c r="F80" s="272">
        <f t="shared" si="158"/>
        <v>0.59796610169491515</v>
      </c>
      <c r="G80" s="272">
        <f t="shared" si="158"/>
        <v>0.79740011536661581</v>
      </c>
      <c r="H80" s="272">
        <f t="shared" si="158"/>
        <v>0.6157779646761985</v>
      </c>
      <c r="I80" s="272">
        <f t="shared" si="158"/>
        <v>0.49885719085575853</v>
      </c>
      <c r="J80" s="272">
        <f t="shared" si="158"/>
        <v>0.14928538975623856</v>
      </c>
      <c r="K80" s="272">
        <f t="shared" si="158"/>
        <v>3.0862725522053814E-3</v>
      </c>
      <c r="L80" s="272">
        <f t="shared" si="158"/>
        <v>0.11061628875233792</v>
      </c>
      <c r="M80" s="272">
        <f t="shared" si="158"/>
        <v>0.51586251606605082</v>
      </c>
      <c r="N80" s="273">
        <f t="shared" si="158"/>
        <v>0.38291117758679211</v>
      </c>
      <c r="O80" s="78"/>
      <c r="P80" s="191"/>
      <c r="Q80" s="62"/>
      <c r="R80" s="61"/>
      <c r="S80" s="61"/>
      <c r="T80" s="61"/>
      <c r="U80" s="61"/>
      <c r="V80" s="15"/>
      <c r="W80" s="15"/>
      <c r="X80" s="15"/>
      <c r="Y80" s="15"/>
      <c r="Z80" s="15"/>
      <c r="AA80" s="15"/>
      <c r="AB80" s="15"/>
    </row>
    <row r="81" spans="1:29" ht="15" customHeight="1" x14ac:dyDescent="0.35">
      <c r="A81" s="86">
        <v>2002</v>
      </c>
      <c r="B81" s="58" t="s">
        <v>45</v>
      </c>
      <c r="C81" s="47">
        <f>+'Monthly Historical Flow-Gen'!B40</f>
        <v>239.58389423076923</v>
      </c>
      <c r="D81" s="94">
        <f>+'Monthly Historical Flow-Gen'!C40</f>
        <v>305.66682692307694</v>
      </c>
      <c r="E81" s="94">
        <f>+'Monthly Historical Flow-Gen'!D40</f>
        <v>551.9920673076922</v>
      </c>
      <c r="F81" s="94">
        <f>+'Monthly Historical Flow-Gen'!E40</f>
        <v>598.38317307692307</v>
      </c>
      <c r="G81" s="94">
        <f>+'Monthly Historical Flow-Gen'!F40</f>
        <v>990.80048076923072</v>
      </c>
      <c r="H81" s="94">
        <f>+'Monthly Historical Flow-Gen'!G40</f>
        <v>620.11514423076926</v>
      </c>
      <c r="I81" s="94">
        <f>+'Monthly Historical Flow-Gen'!H40</f>
        <v>136.15745192307691</v>
      </c>
      <c r="J81" s="94">
        <f>+'Monthly Historical Flow-Gen'!I40</f>
        <v>90.387259615384622</v>
      </c>
      <c r="K81" s="94">
        <f>+'Monthly Historical Flow-Gen'!J40</f>
        <v>116.465625</v>
      </c>
      <c r="L81" s="94">
        <f>+'Monthly Historical Flow-Gen'!K40</f>
        <v>245.34951923076923</v>
      </c>
      <c r="M81" s="94">
        <f>+'Monthly Historical Flow-Gen'!L40</f>
        <v>556.16105769230762</v>
      </c>
      <c r="N81" s="74">
        <f>+'Monthly Historical Flow-Gen'!M40</f>
        <v>1018.2980769230769</v>
      </c>
      <c r="O81" s="85">
        <f>+A81</f>
        <v>2002</v>
      </c>
      <c r="P81" s="189"/>
      <c r="Q81" s="62"/>
      <c r="R81" s="61"/>
      <c r="S81" s="61"/>
      <c r="T81" s="61"/>
      <c r="U81" s="61"/>
      <c r="V81" s="15"/>
      <c r="W81" s="15"/>
      <c r="X81" s="15"/>
      <c r="Y81" s="15"/>
      <c r="Z81" s="15"/>
      <c r="AA81" s="15"/>
      <c r="AB81" s="15"/>
    </row>
    <row r="82" spans="1:29" ht="15" customHeight="1" x14ac:dyDescent="0.35">
      <c r="A82" s="85"/>
      <c r="B82" s="48" t="s">
        <v>43</v>
      </c>
      <c r="C82" s="47">
        <f>IF(C81&gt;$O82,$O82,C81)</f>
        <v>239.58389423076923</v>
      </c>
      <c r="D82" s="46">
        <f t="shared" ref="D82" si="159">IF(D81&gt;$O82,$O82,D81)</f>
        <v>305.66682692307694</v>
      </c>
      <c r="E82" s="46">
        <f t="shared" ref="E82" si="160">IF(E81&gt;$O82,$O82,E81)</f>
        <v>551.9920673076922</v>
      </c>
      <c r="F82" s="46">
        <f t="shared" ref="F82" si="161">IF(F81&gt;$O82,$O82,F81)</f>
        <v>598.38317307692307</v>
      </c>
      <c r="G82" s="46">
        <f t="shared" ref="G82" si="162">IF(G81&gt;$O82,$O82,G81)</f>
        <v>927.14285714285722</v>
      </c>
      <c r="H82" s="46">
        <f t="shared" ref="H82" si="163">IF(H81&gt;$O82,$O82,H81)</f>
        <v>620.11514423076926</v>
      </c>
      <c r="I82" s="46">
        <f t="shared" ref="I82" si="164">IF(I81&gt;$O82,$O82,I81)</f>
        <v>136.15745192307691</v>
      </c>
      <c r="J82" s="46">
        <f t="shared" ref="J82" si="165">IF(J81&gt;$O82,$O82,J81)</f>
        <v>90.387259615384622</v>
      </c>
      <c r="K82" s="46">
        <f t="shared" ref="K82" si="166">IF(K81&gt;$O82,$O82,K81)</f>
        <v>116.465625</v>
      </c>
      <c r="L82" s="46">
        <f t="shared" ref="L82" si="167">IF(L81&gt;$O82,$O82,L81)</f>
        <v>245.34951923076923</v>
      </c>
      <c r="M82" s="46">
        <f t="shared" ref="M82" si="168">IF(M81&gt;$O82,$O82,M81)</f>
        <v>556.16105769230762</v>
      </c>
      <c r="N82" s="45">
        <f t="shared" ref="N82" si="169">IF(N81&gt;$O82,$O82,N81)</f>
        <v>927.14285714285722</v>
      </c>
      <c r="O82" s="185">
        <f>IF(P82="Pre",'cfs limit calculation'!$E$6,'cfs limit calculation'!$E$11)</f>
        <v>927.14285714285722</v>
      </c>
      <c r="P82" s="190" t="str">
        <f>+P77</f>
        <v>Pre</v>
      </c>
      <c r="Q82" s="62"/>
      <c r="R82" s="61"/>
      <c r="S82" s="61"/>
      <c r="T82" s="61"/>
      <c r="U82" s="61"/>
      <c r="V82" s="15"/>
      <c r="W82" s="15"/>
      <c r="X82" s="15"/>
      <c r="Y82" s="15"/>
      <c r="Z82" s="15"/>
      <c r="AA82" s="15"/>
      <c r="AB82" s="15"/>
    </row>
    <row r="83" spans="1:29" ht="15" customHeight="1" x14ac:dyDescent="0.35">
      <c r="A83" s="85"/>
      <c r="B83" s="8" t="s">
        <v>44</v>
      </c>
      <c r="C83" s="47">
        <f>+'Monthly Historical Flow-Gen'!B66</f>
        <v>166.74817980691876</v>
      </c>
      <c r="D83" s="73">
        <f>+'Monthly Historical Flow-Gen'!C66</f>
        <v>214.93236884802599</v>
      </c>
      <c r="E83" s="73">
        <f>+'Monthly Historical Flow-Gen'!D66</f>
        <v>364.99273327049946</v>
      </c>
      <c r="F83" s="73">
        <f>+'Monthly Historical Flow-Gen'!E66</f>
        <v>401.538769513315</v>
      </c>
      <c r="G83" s="73">
        <f>+'Monthly Historical Flow-Gen'!F66</f>
        <v>790.06441767068293</v>
      </c>
      <c r="H83" s="73">
        <f>+'Monthly Historical Flow-Gen'!G66</f>
        <v>415.12404394381872</v>
      </c>
      <c r="I83" s="73">
        <f>+'Monthly Historical Flow-Gen'!H66</f>
        <v>67.923123980424137</v>
      </c>
      <c r="J83" s="73">
        <f>+'Monthly Historical Flow-Gen'!I66</f>
        <v>13.493497280681014</v>
      </c>
      <c r="K83" s="73">
        <f>+'Monthly Historical Flow-Gen'!J66</f>
        <v>0.35944466171294487</v>
      </c>
      <c r="L83" s="73">
        <f>+'Monthly Historical Flow-Gen'!K66</f>
        <v>27.139653264478056</v>
      </c>
      <c r="M83" s="73">
        <f>+'Monthly Historical Flow-Gen'!L66</f>
        <v>286.90264255910984</v>
      </c>
      <c r="N83" s="74">
        <f>+'Monthly Historical Flow-Gen'!M66</f>
        <v>389.91771576898117</v>
      </c>
      <c r="O83" s="85"/>
      <c r="P83" s="189"/>
      <c r="Q83" s="62"/>
      <c r="R83" s="61"/>
      <c r="S83" s="61"/>
      <c r="T83" s="61"/>
      <c r="U83" s="61"/>
      <c r="V83" s="15"/>
      <c r="W83" s="15"/>
      <c r="X83" s="15"/>
      <c r="Y83" s="15"/>
      <c r="Z83" s="15"/>
      <c r="AA83" s="15"/>
      <c r="AB83" s="15"/>
    </row>
    <row r="84" spans="1:29" ht="15" customHeight="1" x14ac:dyDescent="0.35">
      <c r="B84" s="22" t="s">
        <v>67</v>
      </c>
      <c r="C84" s="47">
        <f>IF($P82="Pre",IF('cfs limit calculation'!B$17&gt;Calculations!C83,Calculations!C83,'cfs limit calculation'!B$17),IF('cfs limit calculation'!B$19&gt;Calculations!C83,Calculations!C83,'cfs limit calculation'!B$19))</f>
        <v>166.74817980691876</v>
      </c>
      <c r="D84" s="32">
        <f>IF($P82="Pre",IF('cfs limit calculation'!C$17&gt;Calculations!D83,Calculations!D83,'cfs limit calculation'!C$17),IF('cfs limit calculation'!C$19&gt;Calculations!D83,Calculations!D83,'cfs limit calculation'!C$19))</f>
        <v>214.93236884802599</v>
      </c>
      <c r="E84" s="31">
        <f>IF($P82="Pre",IF('cfs limit calculation'!D$17&gt;Calculations!E83,Calculations!E83,'cfs limit calculation'!D$17),IF('cfs limit calculation'!D$19&gt;Calculations!E83,Calculations!E83,'cfs limit calculation'!D$19))</f>
        <v>364.99273327049946</v>
      </c>
      <c r="F84" s="32">
        <f>IF($P82="Pre",IF('cfs limit calculation'!E$17&gt;Calculations!F83,Calculations!F83,'cfs limit calculation'!E$17),IF('cfs limit calculation'!E$19&gt;Calculations!F83,Calculations!F83,'cfs limit calculation'!E$19))</f>
        <v>401.538769513315</v>
      </c>
      <c r="G84" s="32">
        <f>IF($P82="Pre",IF('cfs limit calculation'!F$17&gt;Calculations!G83,Calculations!G83,'cfs limit calculation'!F$17),IF('cfs limit calculation'!F$19&gt;Calculations!G83,Calculations!G83,'cfs limit calculation'!F$19))</f>
        <v>572.88</v>
      </c>
      <c r="H84" s="32">
        <f>IF($P82="Pre",IF('cfs limit calculation'!G$17&gt;Calculations!H83,Calculations!H83,'cfs limit calculation'!G$17),IF('cfs limit calculation'!G$19&gt;Calculations!H83,Calculations!H83,'cfs limit calculation'!G$19))</f>
        <v>415.12404394381872</v>
      </c>
      <c r="I84" s="32">
        <f>IF($P82="Pre",IF('cfs limit calculation'!H$17&gt;Calculations!I83,Calculations!I83,'cfs limit calculation'!H$17),IF('cfs limit calculation'!H$19&gt;Calculations!I83,Calculations!I83,'cfs limit calculation'!H$19))</f>
        <v>67.923123980424137</v>
      </c>
      <c r="J84" s="32">
        <f>IF($P82="Pre",IF('cfs limit calculation'!I$17&gt;Calculations!J83,Calculations!J83,'cfs limit calculation'!I$17),IF('cfs limit calculation'!I$19&gt;Calculations!J83,Calculations!J83,'cfs limit calculation'!I$19))</f>
        <v>13.493497280681014</v>
      </c>
      <c r="K84" s="32">
        <f>IF($P82="Pre",IF('cfs limit calculation'!J$17&gt;Calculations!K83,Calculations!K83,'cfs limit calculation'!J$17),IF('cfs limit calculation'!J$19&gt;Calculations!K83,Calculations!K83,'cfs limit calculation'!J$19))</f>
        <v>0.35944466171294487</v>
      </c>
      <c r="L84" s="32">
        <f>IF($P82="Pre",IF('cfs limit calculation'!K$17&gt;Calculations!L83,Calculations!L83,'cfs limit calculation'!K$17),IF('cfs limit calculation'!K$19&gt;Calculations!L83,Calculations!L83,'cfs limit calculation'!K$19))</f>
        <v>27.139653264478056</v>
      </c>
      <c r="M84" s="32">
        <f>IF($P82="Pre",IF('cfs limit calculation'!L$17&gt;Calculations!M83,Calculations!M83,'cfs limit calculation'!L$17),IF('cfs limit calculation'!L$19&gt;Calculations!M83,Calculations!M83,'cfs limit calculation'!L$19))</f>
        <v>286.90264255910984</v>
      </c>
      <c r="N84" s="74">
        <f>IF($P82="Pre",IF('cfs limit calculation'!M$17&gt;Calculations!N83,Calculations!N83,'cfs limit calculation'!M$17),IF('cfs limit calculation'!M$19&gt;Calculations!N83,Calculations!N83,'cfs limit calculation'!M$19))</f>
        <v>389.91771576898117</v>
      </c>
      <c r="O84" s="85"/>
      <c r="P84" s="189"/>
      <c r="Q84" s="62"/>
      <c r="R84" s="61"/>
      <c r="S84" s="61"/>
      <c r="T84" s="61"/>
      <c r="U84" s="61"/>
      <c r="V84" s="15"/>
      <c r="W84" s="15"/>
      <c r="X84" s="15"/>
      <c r="Y84" s="15"/>
      <c r="Z84" s="15"/>
      <c r="AA84" s="15"/>
      <c r="AB84" s="15"/>
    </row>
    <row r="85" spans="1:29" ht="15" customHeight="1" thickBot="1" x14ac:dyDescent="0.35">
      <c r="A85" s="44"/>
      <c r="B85" s="50" t="s">
        <v>42</v>
      </c>
      <c r="C85" s="265">
        <f t="shared" ref="C85:N85" si="170">+C84/C82</f>
        <v>0.69599077326251946</v>
      </c>
      <c r="D85" s="272">
        <f t="shared" si="170"/>
        <v>0.70315896236301467</v>
      </c>
      <c r="E85" s="272">
        <f t="shared" si="170"/>
        <v>0.66122822208429433</v>
      </c>
      <c r="F85" s="272">
        <f t="shared" si="170"/>
        <v>0.67103954051478076</v>
      </c>
      <c r="G85" s="272">
        <f t="shared" si="170"/>
        <v>0.61789830508474575</v>
      </c>
      <c r="H85" s="272">
        <f t="shared" si="170"/>
        <v>0.66943058528068256</v>
      </c>
      <c r="I85" s="272">
        <f t="shared" si="170"/>
        <v>0.49885719085575847</v>
      </c>
      <c r="J85" s="272">
        <f t="shared" si="170"/>
        <v>0.14928538975623856</v>
      </c>
      <c r="K85" s="272">
        <f t="shared" si="170"/>
        <v>3.0862725522053814E-3</v>
      </c>
      <c r="L85" s="272">
        <f t="shared" si="170"/>
        <v>0.11061628875233792</v>
      </c>
      <c r="M85" s="272">
        <f t="shared" si="170"/>
        <v>0.51586251606605082</v>
      </c>
      <c r="N85" s="273">
        <f t="shared" si="170"/>
        <v>0.42055839913449428</v>
      </c>
      <c r="O85" s="78"/>
      <c r="P85" s="191"/>
      <c r="Q85" s="14"/>
      <c r="R85" s="56"/>
      <c r="S85" s="61"/>
      <c r="T85" s="61"/>
      <c r="U85" s="61"/>
      <c r="V85" s="15"/>
      <c r="W85" s="15"/>
      <c r="X85" s="15"/>
      <c r="Y85" s="15"/>
      <c r="Z85" s="15"/>
      <c r="AA85" s="15"/>
    </row>
    <row r="86" spans="1:29" ht="15" customHeight="1" x14ac:dyDescent="0.25">
      <c r="A86" s="85">
        <v>2003</v>
      </c>
      <c r="B86" s="58" t="s">
        <v>45</v>
      </c>
      <c r="C86" s="47">
        <f>+'Monthly Historical Flow-Gen'!B41</f>
        <v>791.13245192307681</v>
      </c>
      <c r="D86" s="94">
        <f>+'Monthly Historical Flow-Gen'!C41</f>
        <v>684.51274038461543</v>
      </c>
      <c r="E86" s="94">
        <f>+'Monthly Historical Flow-Gen'!D41</f>
        <v>1664.0480769230769</v>
      </c>
      <c r="F86" s="94">
        <f>+'Monthly Historical Flow-Gen'!E41</f>
        <v>1543.4134615384614</v>
      </c>
      <c r="G86" s="94">
        <f>+'Monthly Historical Flow-Gen'!F41</f>
        <v>819.42836538461529</v>
      </c>
      <c r="H86" s="94">
        <f>+'Monthly Historical Flow-Gen'!G41</f>
        <v>1449.3894230769231</v>
      </c>
      <c r="I86" s="94">
        <f>+'Monthly Historical Flow-Gen'!H41</f>
        <v>372.90288461538455</v>
      </c>
      <c r="J86" s="94">
        <f>+'Monthly Historical Flow-Gen'!I41</f>
        <v>388.07091346153845</v>
      </c>
      <c r="K86" s="94">
        <f>+'Monthly Historical Flow-Gen'!J41</f>
        <v>276.12908653846154</v>
      </c>
      <c r="L86" s="94">
        <f>+'Monthly Historical Flow-Gen'!K41</f>
        <v>486.88485576923074</v>
      </c>
      <c r="M86" s="94">
        <f>+'Monthly Historical Flow-Gen'!L41</f>
        <v>649.83028846153843</v>
      </c>
      <c r="N86" s="103">
        <f>+'Monthly Historical Flow-Gen'!M41</f>
        <v>1288.8389423076922</v>
      </c>
      <c r="O86" s="86">
        <f>+A86</f>
        <v>2003</v>
      </c>
      <c r="P86" s="188"/>
      <c r="R86" s="55"/>
      <c r="S86" s="55"/>
      <c r="T86" s="54"/>
      <c r="U86" s="53"/>
      <c r="V86" s="53"/>
      <c r="W86" s="54"/>
      <c r="X86" s="53"/>
      <c r="Y86" s="53"/>
      <c r="Z86" s="53"/>
      <c r="AA86" s="53"/>
      <c r="AB86" s="53"/>
      <c r="AC86" s="53"/>
    </row>
    <row r="87" spans="1:29" ht="15" customHeight="1" x14ac:dyDescent="0.25">
      <c r="A87" s="85"/>
      <c r="B87" s="48" t="s">
        <v>43</v>
      </c>
      <c r="C87" s="47">
        <f>IF(C86&gt;$O87,$O87,C86)</f>
        <v>791.13245192307681</v>
      </c>
      <c r="D87" s="46">
        <f t="shared" ref="D87" si="171">IF(D86&gt;$O87,$O87,D86)</f>
        <v>684.51274038461543</v>
      </c>
      <c r="E87" s="46">
        <f t="shared" ref="E87" si="172">IF(E86&gt;$O87,$O87,E86)</f>
        <v>927.14285714285722</v>
      </c>
      <c r="F87" s="46">
        <f t="shared" ref="F87" si="173">IF(F86&gt;$O87,$O87,F86)</f>
        <v>927.14285714285722</v>
      </c>
      <c r="G87" s="46">
        <f t="shared" ref="G87" si="174">IF(G86&gt;$O87,$O87,G86)</f>
        <v>819.42836538461529</v>
      </c>
      <c r="H87" s="46">
        <f t="shared" ref="H87" si="175">IF(H86&gt;$O87,$O87,H86)</f>
        <v>927.14285714285722</v>
      </c>
      <c r="I87" s="46">
        <f t="shared" ref="I87" si="176">IF(I86&gt;$O87,$O87,I86)</f>
        <v>372.90288461538455</v>
      </c>
      <c r="J87" s="46">
        <f t="shared" ref="J87" si="177">IF(J86&gt;$O87,$O87,J86)</f>
        <v>388.07091346153845</v>
      </c>
      <c r="K87" s="46">
        <f t="shared" ref="K87" si="178">IF(K86&gt;$O87,$O87,K86)</f>
        <v>276.12908653846154</v>
      </c>
      <c r="L87" s="46">
        <f t="shared" ref="L87" si="179">IF(L86&gt;$O87,$O87,L86)</f>
        <v>486.88485576923074</v>
      </c>
      <c r="M87" s="46">
        <f t="shared" ref="M87" si="180">IF(M86&gt;$O87,$O87,M86)</f>
        <v>649.83028846153843</v>
      </c>
      <c r="N87" s="45">
        <f t="shared" ref="N87" si="181">IF(N86&gt;$O87,$O87,N86)</f>
        <v>927.14285714285722</v>
      </c>
      <c r="O87" s="185">
        <f>IF(P87="Pre",'cfs limit calculation'!$E$6,'cfs limit calculation'!$E$11)</f>
        <v>927.14285714285722</v>
      </c>
      <c r="P87" s="190" t="str">
        <f>+P82</f>
        <v>Pre</v>
      </c>
      <c r="R87" s="55"/>
      <c r="S87" s="55"/>
      <c r="T87" s="54"/>
      <c r="U87" s="53"/>
      <c r="V87" s="53"/>
      <c r="W87" s="54"/>
      <c r="X87" s="53"/>
      <c r="Y87" s="53"/>
      <c r="Z87" s="53"/>
      <c r="AA87" s="53"/>
      <c r="AB87" s="53"/>
      <c r="AC87" s="53"/>
    </row>
    <row r="88" spans="1:29" ht="15" customHeight="1" x14ac:dyDescent="0.25">
      <c r="A88" s="85"/>
      <c r="B88" s="8" t="s">
        <v>44</v>
      </c>
      <c r="C88" s="47">
        <f>+'Monthly Historical Flow-Gen'!B67</f>
        <v>550.62088696701528</v>
      </c>
      <c r="D88" s="73">
        <f>+'Monthly Historical Flow-Gen'!C67</f>
        <v>481.32126825310985</v>
      </c>
      <c r="E88" s="73">
        <f>+'Monthly Historical Flow-Gen'!D67</f>
        <v>1100.3155513666352</v>
      </c>
      <c r="F88" s="73">
        <f>+'Monthly Historical Flow-Gen'!E67</f>
        <v>1035.6914600550965</v>
      </c>
      <c r="G88" s="73">
        <f>+'Monthly Historical Flow-Gen'!F67</f>
        <v>653.41227309236956</v>
      </c>
      <c r="H88" s="73">
        <f>+'Monthly Historical Flow-Gen'!G67</f>
        <v>970.26560979001545</v>
      </c>
      <c r="I88" s="73">
        <f>+'Monthly Historical Flow-Gen'!H67</f>
        <v>186.02528548123979</v>
      </c>
      <c r="J88" s="73">
        <f>+'Monthly Historical Flow-Gen'!I67</f>
        <v>57.933317569165297</v>
      </c>
      <c r="K88" s="73">
        <f>+'Monthly Historical Flow-Gen'!J67</f>
        <v>0.85220962064919836</v>
      </c>
      <c r="L88" s="73">
        <f>+'Monthly Historical Flow-Gen'!K67</f>
        <v>53.857395794909628</v>
      </c>
      <c r="M88" s="73">
        <f>+'Monthly Historical Flow-Gen'!L67</f>
        <v>335.22308762169683</v>
      </c>
      <c r="N88" s="74">
        <f>+'Monthly Historical Flow-Gen'!M67</f>
        <v>493.51083711875401</v>
      </c>
      <c r="O88" s="85"/>
      <c r="P88" s="189"/>
      <c r="Q88" s="52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 spans="1:29" ht="15" customHeight="1" x14ac:dyDescent="0.25">
      <c r="B89" s="22" t="s">
        <v>67</v>
      </c>
      <c r="C89" s="47">
        <f>IF($P87="Pre",IF('cfs limit calculation'!B$17&gt;Calculations!C88,Calculations!C88,'cfs limit calculation'!B$17),IF('cfs limit calculation'!B$19&gt;Calculations!C88,Calculations!C88,'cfs limit calculation'!B$19))</f>
        <v>550.62088696701528</v>
      </c>
      <c r="D89" s="32">
        <f>IF($P87="Pre",IF('cfs limit calculation'!C$17&gt;Calculations!D88,Calculations!D88,'cfs limit calculation'!C$17),IF('cfs limit calculation'!C$19&gt;Calculations!D88,Calculations!D88,'cfs limit calculation'!C$19))</f>
        <v>481.32126825310985</v>
      </c>
      <c r="E89" s="31">
        <f>IF($P87="Pre",IF('cfs limit calculation'!D$17&gt;Calculations!E88,Calculations!E88,'cfs limit calculation'!D$17),IF('cfs limit calculation'!D$19&gt;Calculations!E88,Calculations!E88,'cfs limit calculation'!D$19))</f>
        <v>572.88</v>
      </c>
      <c r="F89" s="32">
        <f>IF($P87="Pre",IF('cfs limit calculation'!E$17&gt;Calculations!F88,Calculations!F88,'cfs limit calculation'!E$17),IF('cfs limit calculation'!E$19&gt;Calculations!F88,Calculations!F88,'cfs limit calculation'!E$19))</f>
        <v>554.4</v>
      </c>
      <c r="G89" s="32">
        <f>IF($P87="Pre",IF('cfs limit calculation'!F$17&gt;Calculations!G88,Calculations!G88,'cfs limit calculation'!F$17),IF('cfs limit calculation'!F$19&gt;Calculations!G88,Calculations!G88,'cfs limit calculation'!F$19))</f>
        <v>572.88</v>
      </c>
      <c r="H89" s="32">
        <f>IF($P87="Pre",IF('cfs limit calculation'!G$17&gt;Calculations!H88,Calculations!H88,'cfs limit calculation'!G$17),IF('cfs limit calculation'!G$19&gt;Calculations!H88,Calculations!H88,'cfs limit calculation'!G$19))</f>
        <v>554.4</v>
      </c>
      <c r="I89" s="32">
        <f>IF($P87="Pre",IF('cfs limit calculation'!H$17&gt;Calculations!I88,Calculations!I88,'cfs limit calculation'!H$17),IF('cfs limit calculation'!H$19&gt;Calculations!I88,Calculations!I88,'cfs limit calculation'!H$19))</f>
        <v>186.02528548123979</v>
      </c>
      <c r="J89" s="32">
        <f>IF($P87="Pre",IF('cfs limit calculation'!I$17&gt;Calculations!J88,Calculations!J88,'cfs limit calculation'!I$17),IF('cfs limit calculation'!I$19&gt;Calculations!J88,Calculations!J88,'cfs limit calculation'!I$19))</f>
        <v>57.933317569165297</v>
      </c>
      <c r="K89" s="32">
        <f>IF($P87="Pre",IF('cfs limit calculation'!J$17&gt;Calculations!K88,Calculations!K88,'cfs limit calculation'!J$17),IF('cfs limit calculation'!J$19&gt;Calculations!K88,Calculations!K88,'cfs limit calculation'!J$19))</f>
        <v>0.85220962064919836</v>
      </c>
      <c r="L89" s="32">
        <f>IF($P87="Pre",IF('cfs limit calculation'!K$17&gt;Calculations!L88,Calculations!L88,'cfs limit calculation'!K$17),IF('cfs limit calculation'!K$19&gt;Calculations!L88,Calculations!L88,'cfs limit calculation'!K$19))</f>
        <v>53.857395794909628</v>
      </c>
      <c r="M89" s="32">
        <f>IF($P87="Pre",IF('cfs limit calculation'!L$17&gt;Calculations!M88,Calculations!M88,'cfs limit calculation'!L$17),IF('cfs limit calculation'!L$19&gt;Calculations!M88,Calculations!M88,'cfs limit calculation'!L$19))</f>
        <v>335.22308762169683</v>
      </c>
      <c r="N89" s="74">
        <f>IF($P87="Pre",IF('cfs limit calculation'!M$17&gt;Calculations!N88,Calculations!N88,'cfs limit calculation'!M$17),IF('cfs limit calculation'!M$19&gt;Calculations!N88,Calculations!N88,'cfs limit calculation'!M$19))</f>
        <v>493.51083711875401</v>
      </c>
      <c r="O89" s="65"/>
      <c r="P89" s="48"/>
      <c r="Q89" s="5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 spans="1:29" ht="15" customHeight="1" thickBot="1" x14ac:dyDescent="0.3">
      <c r="A90" s="44"/>
      <c r="B90" s="50" t="s">
        <v>42</v>
      </c>
      <c r="C90" s="265">
        <f t="shared" ref="C90:N90" si="182">+C89/C87</f>
        <v>0.69599077326251957</v>
      </c>
      <c r="D90" s="272">
        <f t="shared" si="182"/>
        <v>0.70315896236301467</v>
      </c>
      <c r="E90" s="272">
        <f t="shared" si="182"/>
        <v>0.61789830508474575</v>
      </c>
      <c r="F90" s="272">
        <f t="shared" si="182"/>
        <v>0.59796610169491515</v>
      </c>
      <c r="G90" s="272">
        <f t="shared" si="182"/>
        <v>0.69912151470507999</v>
      </c>
      <c r="H90" s="272">
        <f t="shared" si="182"/>
        <v>0.59796610169491515</v>
      </c>
      <c r="I90" s="272">
        <f t="shared" si="182"/>
        <v>0.49885719085575853</v>
      </c>
      <c r="J90" s="272">
        <f t="shared" si="182"/>
        <v>0.14928538975623856</v>
      </c>
      <c r="K90" s="272">
        <f t="shared" si="182"/>
        <v>3.0862725522053814E-3</v>
      </c>
      <c r="L90" s="272">
        <f t="shared" si="182"/>
        <v>0.11061628875233792</v>
      </c>
      <c r="M90" s="272">
        <f t="shared" si="182"/>
        <v>0.51586251606605082</v>
      </c>
      <c r="N90" s="273">
        <f t="shared" si="182"/>
        <v>0.53229212015890259</v>
      </c>
      <c r="O90" s="78"/>
      <c r="P90" s="191"/>
      <c r="Q90" s="5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 spans="1:29" ht="15" customHeight="1" x14ac:dyDescent="0.25">
      <c r="A91" s="85">
        <v>2004</v>
      </c>
      <c r="B91" s="58" t="s">
        <v>45</v>
      </c>
      <c r="C91" s="47">
        <f>+'Monthly Historical Flow-Gen'!B42</f>
        <v>723.89639423076926</v>
      </c>
      <c r="D91" s="94">
        <f>+'Monthly Historical Flow-Gen'!C42</f>
        <v>468.96706730769233</v>
      </c>
      <c r="E91" s="94">
        <f>+'Monthly Historical Flow-Gen'!D42</f>
        <v>642.02451923076922</v>
      </c>
      <c r="F91" s="94">
        <f>+'Monthly Historical Flow-Gen'!E42</f>
        <v>2096.9134615384614</v>
      </c>
      <c r="G91" s="94">
        <f>+'Monthly Historical Flow-Gen'!F42</f>
        <v>918.95192307692298</v>
      </c>
      <c r="H91" s="94">
        <f>+'Monthly Historical Flow-Gen'!G42</f>
        <v>334.14014423076918</v>
      </c>
      <c r="I91" s="94">
        <f>+'Monthly Historical Flow-Gen'!H42</f>
        <v>231.06850961538461</v>
      </c>
      <c r="J91" s="94">
        <f>+'Monthly Historical Flow-Gen'!I42</f>
        <v>237.10024038461538</v>
      </c>
      <c r="K91" s="94">
        <f>+'Monthly Historical Flow-Gen'!J42</f>
        <v>419.56009615384613</v>
      </c>
      <c r="L91" s="94">
        <f>+'Monthly Historical Flow-Gen'!K42</f>
        <v>513.051923076923</v>
      </c>
      <c r="M91" s="94">
        <f>+'Monthly Historical Flow-Gen'!L42</f>
        <v>545.78293269230767</v>
      </c>
      <c r="N91" s="103">
        <f>+'Monthly Historical Flow-Gen'!M42</f>
        <v>1271.9855769230769</v>
      </c>
      <c r="O91" s="85">
        <f>+A91</f>
        <v>2004</v>
      </c>
      <c r="P91" s="189"/>
      <c r="Q91" s="5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 spans="1:29" ht="15" customHeight="1" x14ac:dyDescent="0.25">
      <c r="A92" s="85"/>
      <c r="B92" s="48" t="s">
        <v>43</v>
      </c>
      <c r="C92" s="47">
        <f>IF(C91&gt;$O92,$O92,C91)</f>
        <v>723.89639423076926</v>
      </c>
      <c r="D92" s="46">
        <f t="shared" ref="D92" si="183">IF(D91&gt;$O92,$O92,D91)</f>
        <v>468.96706730769233</v>
      </c>
      <c r="E92" s="46">
        <f t="shared" ref="E92" si="184">IF(E91&gt;$O92,$O92,E91)</f>
        <v>642.02451923076922</v>
      </c>
      <c r="F92" s="46">
        <f t="shared" ref="F92" si="185">IF(F91&gt;$O92,$O92,F91)</f>
        <v>927.14285714285722</v>
      </c>
      <c r="G92" s="46">
        <f t="shared" ref="G92" si="186">IF(G91&gt;$O92,$O92,G91)</f>
        <v>918.95192307692298</v>
      </c>
      <c r="H92" s="46">
        <f t="shared" ref="H92" si="187">IF(H91&gt;$O92,$O92,H91)</f>
        <v>334.14014423076918</v>
      </c>
      <c r="I92" s="46">
        <f t="shared" ref="I92" si="188">IF(I91&gt;$O92,$O92,I91)</f>
        <v>231.06850961538461</v>
      </c>
      <c r="J92" s="46">
        <f t="shared" ref="J92" si="189">IF(J91&gt;$O92,$O92,J91)</f>
        <v>237.10024038461538</v>
      </c>
      <c r="K92" s="46">
        <f t="shared" ref="K92" si="190">IF(K91&gt;$O92,$O92,K91)</f>
        <v>419.56009615384613</v>
      </c>
      <c r="L92" s="46">
        <f t="shared" ref="L92" si="191">IF(L91&gt;$O92,$O92,L91)</f>
        <v>513.051923076923</v>
      </c>
      <c r="M92" s="46">
        <f t="shared" ref="M92" si="192">IF(M91&gt;$O92,$O92,M91)</f>
        <v>545.78293269230767</v>
      </c>
      <c r="N92" s="45">
        <f t="shared" ref="N92" si="193">IF(N91&gt;$O92,$O92,N91)</f>
        <v>927.14285714285722</v>
      </c>
      <c r="O92" s="185">
        <f>IF(P92="Pre",'cfs limit calculation'!$E$6,'cfs limit calculation'!$E$11)</f>
        <v>927.14285714285722</v>
      </c>
      <c r="P92" s="190" t="str">
        <f>+P87</f>
        <v>Pre</v>
      </c>
      <c r="Q92" s="5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 spans="1:29" ht="15" customHeight="1" x14ac:dyDescent="0.25">
      <c r="A93" s="85"/>
      <c r="B93" s="8" t="s">
        <v>44</v>
      </c>
      <c r="C93" s="47">
        <f>+'Monthly Historical Flow-Gen'!B68</f>
        <v>503.82521118262275</v>
      </c>
      <c r="D93" s="73">
        <f>+'Monthly Historical Flow-Gen'!C68</f>
        <v>329.75839643050301</v>
      </c>
      <c r="E93" s="73">
        <f>+'Monthly Historical Flow-Gen'!D68</f>
        <v>424.52473138548538</v>
      </c>
      <c r="F93" s="73">
        <f>+'Monthly Historical Flow-Gen'!E68</f>
        <v>1407.1118457300277</v>
      </c>
      <c r="G93" s="73">
        <f>+'Monthly Historical Flow-Gen'!F68</f>
        <v>732.77236947791175</v>
      </c>
      <c r="H93" s="73">
        <f>+'Monthly Historical Flow-Gen'!G68</f>
        <v>223.68363231817548</v>
      </c>
      <c r="I93" s="73">
        <f>+'Monthly Historical Flow-Gen'!H68</f>
        <v>115.2701876019576</v>
      </c>
      <c r="J93" s="73">
        <f>+'Monthly Historical Flow-Gen'!I68</f>
        <v>35.395601797115162</v>
      </c>
      <c r="K93" s="73">
        <f>+'Monthly Historical Flow-Gen'!J68</f>
        <v>1.294876808760266</v>
      </c>
      <c r="L93" s="73">
        <f>+'Monthly Historical Flow-Gen'!K68</f>
        <v>56.751899668019178</v>
      </c>
      <c r="M93" s="73">
        <f>+'Monthly Historical Flow-Gen'!L68</f>
        <v>281.5489568845619</v>
      </c>
      <c r="N93" s="74">
        <f>+'Monthly Historical Flow-Gen'!M68</f>
        <v>487.0574951330305</v>
      </c>
      <c r="O93" s="85"/>
      <c r="P93" s="189"/>
      <c r="Q93" s="5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 spans="1:29" ht="15" customHeight="1" x14ac:dyDescent="0.25">
      <c r="B94" s="22" t="s">
        <v>67</v>
      </c>
      <c r="C94" s="47">
        <f>IF($P92="Pre",IF('cfs limit calculation'!B$17&gt;Calculations!C93,Calculations!C93,'cfs limit calculation'!B$17),IF('cfs limit calculation'!B$19&gt;Calculations!C93,Calculations!C93,'cfs limit calculation'!B$19))</f>
        <v>503.82521118262275</v>
      </c>
      <c r="D94" s="32">
        <f>IF($P92="Pre",IF('cfs limit calculation'!C$17&gt;Calculations!D93,Calculations!D93,'cfs limit calculation'!C$17),IF('cfs limit calculation'!C$19&gt;Calculations!D93,Calculations!D93,'cfs limit calculation'!C$19))</f>
        <v>329.75839643050301</v>
      </c>
      <c r="E94" s="31">
        <f>IF($P92="Pre",IF('cfs limit calculation'!D$17&gt;Calculations!E93,Calculations!E93,'cfs limit calculation'!D$17),IF('cfs limit calculation'!D$19&gt;Calculations!E93,Calculations!E93,'cfs limit calculation'!D$19))</f>
        <v>424.52473138548538</v>
      </c>
      <c r="F94" s="32">
        <f>IF($P92="Pre",IF('cfs limit calculation'!E$17&gt;Calculations!F93,Calculations!F93,'cfs limit calculation'!E$17),IF('cfs limit calculation'!E$19&gt;Calculations!F93,Calculations!F93,'cfs limit calculation'!E$19))</f>
        <v>554.4</v>
      </c>
      <c r="G94" s="32">
        <f>IF($P92="Pre",IF('cfs limit calculation'!F$17&gt;Calculations!G93,Calculations!G93,'cfs limit calculation'!F$17),IF('cfs limit calculation'!F$19&gt;Calculations!G93,Calculations!G93,'cfs limit calculation'!F$19))</f>
        <v>572.88</v>
      </c>
      <c r="H94" s="32">
        <f>IF($P92="Pre",IF('cfs limit calculation'!G$17&gt;Calculations!H93,Calculations!H93,'cfs limit calculation'!G$17),IF('cfs limit calculation'!G$19&gt;Calculations!H93,Calculations!H93,'cfs limit calculation'!G$19))</f>
        <v>223.68363231817548</v>
      </c>
      <c r="I94" s="32">
        <f>IF($P92="Pre",IF('cfs limit calculation'!H$17&gt;Calculations!I93,Calculations!I93,'cfs limit calculation'!H$17),IF('cfs limit calculation'!H$19&gt;Calculations!I93,Calculations!I93,'cfs limit calculation'!H$19))</f>
        <v>115.2701876019576</v>
      </c>
      <c r="J94" s="32">
        <f>IF($P92="Pre",IF('cfs limit calculation'!I$17&gt;Calculations!J93,Calculations!J93,'cfs limit calculation'!I$17),IF('cfs limit calculation'!I$19&gt;Calculations!J93,Calculations!J93,'cfs limit calculation'!I$19))</f>
        <v>35.395601797115162</v>
      </c>
      <c r="K94" s="32">
        <f>IF($P92="Pre",IF('cfs limit calculation'!J$17&gt;Calculations!K93,Calculations!K93,'cfs limit calculation'!J$17),IF('cfs limit calculation'!J$19&gt;Calculations!K93,Calculations!K93,'cfs limit calculation'!J$19))</f>
        <v>1.294876808760266</v>
      </c>
      <c r="L94" s="32">
        <f>IF($P92="Pre",IF('cfs limit calculation'!K$17&gt;Calculations!L93,Calculations!L93,'cfs limit calculation'!K$17),IF('cfs limit calculation'!K$19&gt;Calculations!L93,Calculations!L93,'cfs limit calculation'!K$19))</f>
        <v>56.751899668019178</v>
      </c>
      <c r="M94" s="32">
        <f>IF($P92="Pre",IF('cfs limit calculation'!L$17&gt;Calculations!M93,Calculations!M93,'cfs limit calculation'!L$17),IF('cfs limit calculation'!L$19&gt;Calculations!M93,Calculations!M93,'cfs limit calculation'!L$19))</f>
        <v>281.5489568845619</v>
      </c>
      <c r="N94" s="74">
        <f>IF($P92="Pre",IF('cfs limit calculation'!M$17&gt;Calculations!N93,Calculations!N93,'cfs limit calculation'!M$17),IF('cfs limit calculation'!M$19&gt;Calculations!N93,Calculations!N93,'cfs limit calculation'!M$19))</f>
        <v>487.0574951330305</v>
      </c>
      <c r="O94" s="85"/>
      <c r="P94" s="189"/>
      <c r="Q94" s="5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 spans="1:29" ht="15" customHeight="1" thickBot="1" x14ac:dyDescent="0.3">
      <c r="A95" s="44"/>
      <c r="B95" s="50" t="s">
        <v>42</v>
      </c>
      <c r="C95" s="265">
        <f t="shared" ref="C95:N95" si="194">+C94/C92</f>
        <v>0.69599077326251946</v>
      </c>
      <c r="D95" s="272">
        <f t="shared" si="194"/>
        <v>0.70315896236301467</v>
      </c>
      <c r="E95" s="272">
        <f t="shared" si="194"/>
        <v>0.66122822208429433</v>
      </c>
      <c r="F95" s="272">
        <f t="shared" si="194"/>
        <v>0.59796610169491515</v>
      </c>
      <c r="G95" s="272">
        <f t="shared" si="194"/>
        <v>0.62340584486925954</v>
      </c>
      <c r="H95" s="272">
        <f t="shared" si="194"/>
        <v>0.66943058528068256</v>
      </c>
      <c r="I95" s="272">
        <f t="shared" si="194"/>
        <v>0.49885719085575853</v>
      </c>
      <c r="J95" s="272">
        <f t="shared" si="194"/>
        <v>0.14928538975623856</v>
      </c>
      <c r="K95" s="272">
        <f t="shared" si="194"/>
        <v>3.0862725522053814E-3</v>
      </c>
      <c r="L95" s="272">
        <f t="shared" si="194"/>
        <v>0.11061628875233792</v>
      </c>
      <c r="M95" s="272">
        <f t="shared" si="194"/>
        <v>0.51586251606605082</v>
      </c>
      <c r="N95" s="273">
        <f t="shared" si="194"/>
        <v>0.52533165884918542</v>
      </c>
      <c r="O95" s="78"/>
      <c r="P95" s="191"/>
      <c r="Q95" s="5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 spans="1:29" ht="15" customHeight="1" x14ac:dyDescent="0.25">
      <c r="A96" s="85">
        <v>2005</v>
      </c>
      <c r="B96" s="58" t="s">
        <v>45</v>
      </c>
      <c r="C96" s="47">
        <f>+'Monthly Historical Flow-Gen'!B43</f>
        <v>1507.0456730769231</v>
      </c>
      <c r="D96" s="94">
        <f>+'Monthly Historical Flow-Gen'!C43</f>
        <v>1214.3293269230769</v>
      </c>
      <c r="E96" s="94">
        <f>+'Monthly Historical Flow-Gen'!D43</f>
        <v>1224.0865384615383</v>
      </c>
      <c r="F96" s="94">
        <f>+'Monthly Historical Flow-Gen'!E43</f>
        <v>1833.46875</v>
      </c>
      <c r="G96" s="94">
        <f>+'Monthly Historical Flow-Gen'!F43</f>
        <v>1095.46875</v>
      </c>
      <c r="H96" s="94">
        <f>+'Monthly Historical Flow-Gen'!G43</f>
        <v>386.03076923076918</v>
      </c>
      <c r="I96" s="94">
        <f>+'Monthly Historical Flow-Gen'!H43</f>
        <v>345.9375</v>
      </c>
      <c r="J96" s="94">
        <f>+'Monthly Historical Flow-Gen'!I43</f>
        <v>134.38341346153845</v>
      </c>
      <c r="K96" s="94">
        <f>+'Monthly Historical Flow-Gen'!J43</f>
        <v>137.57668269230768</v>
      </c>
      <c r="L96" s="94">
        <f>+'Monthly Historical Flow-Gen'!K43</f>
        <v>2351.4879807692305</v>
      </c>
      <c r="M96" s="94">
        <f>+'Monthly Historical Flow-Gen'!L43</f>
        <v>1305.6923076923076</v>
      </c>
      <c r="N96" s="103">
        <f>+'Monthly Historical Flow-Gen'!M43</f>
        <v>1229.4086538461538</v>
      </c>
      <c r="O96" s="85">
        <f>+A96</f>
        <v>2005</v>
      </c>
      <c r="P96" s="189"/>
      <c r="Q96" s="5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 spans="1:29" ht="15" customHeight="1" x14ac:dyDescent="0.25">
      <c r="A97" s="85"/>
      <c r="B97" s="48" t="s">
        <v>43</v>
      </c>
      <c r="C97" s="47">
        <f>IF(C96&gt;$O97,$O97,C96)</f>
        <v>927.14285714285722</v>
      </c>
      <c r="D97" s="46">
        <f t="shared" ref="D97" si="195">IF(D96&gt;$O97,$O97,D96)</f>
        <v>927.14285714285722</v>
      </c>
      <c r="E97" s="46">
        <f t="shared" ref="E97" si="196">IF(E96&gt;$O97,$O97,E96)</f>
        <v>927.14285714285722</v>
      </c>
      <c r="F97" s="46">
        <f t="shared" ref="F97" si="197">IF(F96&gt;$O97,$O97,F96)</f>
        <v>927.14285714285722</v>
      </c>
      <c r="G97" s="46">
        <f t="shared" ref="G97" si="198">IF(G96&gt;$O97,$O97,G96)</f>
        <v>927.14285714285722</v>
      </c>
      <c r="H97" s="46">
        <f t="shared" ref="H97" si="199">IF(H96&gt;$O97,$O97,H96)</f>
        <v>386.03076923076918</v>
      </c>
      <c r="I97" s="46">
        <f t="shared" ref="I97" si="200">IF(I96&gt;$O97,$O97,I96)</f>
        <v>345.9375</v>
      </c>
      <c r="J97" s="46">
        <f t="shared" ref="J97" si="201">IF(J96&gt;$O97,$O97,J96)</f>
        <v>134.38341346153845</v>
      </c>
      <c r="K97" s="46">
        <f t="shared" ref="K97" si="202">IF(K96&gt;$O97,$O97,K96)</f>
        <v>137.57668269230768</v>
      </c>
      <c r="L97" s="46">
        <f t="shared" ref="L97" si="203">IF(L96&gt;$O97,$O97,L96)</f>
        <v>927.14285714285722</v>
      </c>
      <c r="M97" s="46">
        <f t="shared" ref="M97" si="204">IF(M96&gt;$O97,$O97,M96)</f>
        <v>927.14285714285722</v>
      </c>
      <c r="N97" s="45">
        <f t="shared" ref="N97" si="205">IF(N96&gt;$O97,$O97,N96)</f>
        <v>927.14285714285722</v>
      </c>
      <c r="O97" s="185">
        <f>IF(P97="Pre",'cfs limit calculation'!$E$6,'cfs limit calculation'!$E$11)</f>
        <v>927.14285714285722</v>
      </c>
      <c r="P97" s="190" t="str">
        <f>+P92</f>
        <v>Pre</v>
      </c>
      <c r="Q97" s="5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 spans="1:29" ht="15" customHeight="1" x14ac:dyDescent="0.25">
      <c r="A98" s="85"/>
      <c r="B98" s="8" t="s">
        <v>44</v>
      </c>
      <c r="C98" s="47">
        <f>+'Monthly Historical Flow-Gen'!B69</f>
        <v>1048.8898833467417</v>
      </c>
      <c r="D98" s="73">
        <f>+'Monthly Historical Flow-Gen'!C69</f>
        <v>853.86654948620878</v>
      </c>
      <c r="E98" s="73">
        <f>+'Monthly Historical Flow-Gen'!D69</f>
        <v>809.40056550424117</v>
      </c>
      <c r="F98" s="46">
        <f>+'Monthly Historical Flow-Gen'!E69</f>
        <v>1230.3300275482095</v>
      </c>
      <c r="G98" s="73">
        <f>+'Monthly Historical Flow-Gen'!F69</f>
        <v>873.52690763052226</v>
      </c>
      <c r="H98" s="73">
        <f>+'Monthly Historical Flow-Gen'!G69</f>
        <v>258.42080378250591</v>
      </c>
      <c r="I98" s="73">
        <f>+'Monthly Historical Flow-Gen'!H69</f>
        <v>172.57340946166397</v>
      </c>
      <c r="J98" s="73">
        <f>+'Monthly Historical Flow-Gen'!I69</f>
        <v>20.061480255379525</v>
      </c>
      <c r="K98" s="73">
        <f>+'Monthly Historical Flow-Gen'!J69</f>
        <v>0.42459913961673834</v>
      </c>
      <c r="L98" s="73">
        <f>+'Monthly Historical Flow-Gen'!K69</f>
        <v>260.11287347842125</v>
      </c>
      <c r="M98" s="73">
        <f>+'Monthly Historical Flow-Gen'!L69</f>
        <v>673.55771905424206</v>
      </c>
      <c r="N98" s="74">
        <f>+'Monthly Historical Flow-Gen'!M69</f>
        <v>470.75431537962362</v>
      </c>
      <c r="O98" s="85"/>
      <c r="P98" s="189"/>
      <c r="Q98" s="5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 spans="1:29" ht="15" customHeight="1" x14ac:dyDescent="0.25">
      <c r="B99" s="22" t="s">
        <v>67</v>
      </c>
      <c r="C99" s="47">
        <f>IF($P97="Pre",IF('cfs limit calculation'!B$17&gt;Calculations!C98,Calculations!C98,'cfs limit calculation'!B$17),IF('cfs limit calculation'!B$19&gt;Calculations!C98,Calculations!C98,'cfs limit calculation'!B$19))</f>
        <v>572.88</v>
      </c>
      <c r="D99" s="32">
        <f>IF($P97="Pre",IF('cfs limit calculation'!C$17&gt;Calculations!D98,Calculations!D98,'cfs limit calculation'!C$17),IF('cfs limit calculation'!C$19&gt;Calculations!D98,Calculations!D98,'cfs limit calculation'!C$19))</f>
        <v>522.05999999999995</v>
      </c>
      <c r="E99" s="31">
        <f>IF($P97="Pre",IF('cfs limit calculation'!D$17&gt;Calculations!E98,Calculations!E98,'cfs limit calculation'!D$17),IF('cfs limit calculation'!D$19&gt;Calculations!E98,Calculations!E98,'cfs limit calculation'!D$19))</f>
        <v>572.88</v>
      </c>
      <c r="F99" s="32">
        <f>IF($P97="Pre",IF('cfs limit calculation'!E$17&gt;Calculations!F98,Calculations!F98,'cfs limit calculation'!E$17),IF('cfs limit calculation'!E$19&gt;Calculations!F98,Calculations!F98,'cfs limit calculation'!E$19))</f>
        <v>554.4</v>
      </c>
      <c r="G99" s="32">
        <f>IF($P97="Pre",IF('cfs limit calculation'!F$17&gt;Calculations!G98,Calculations!G98,'cfs limit calculation'!F$17),IF('cfs limit calculation'!F$19&gt;Calculations!G98,Calculations!G98,'cfs limit calculation'!F$19))</f>
        <v>572.88</v>
      </c>
      <c r="H99" s="32">
        <f>IF($P97="Pre",IF('cfs limit calculation'!G$17&gt;Calculations!H98,Calculations!H98,'cfs limit calculation'!G$17),IF('cfs limit calculation'!G$19&gt;Calculations!H98,Calculations!H98,'cfs limit calculation'!G$19))</f>
        <v>258.42080378250591</v>
      </c>
      <c r="I99" s="32">
        <f>IF($P97="Pre",IF('cfs limit calculation'!H$17&gt;Calculations!I98,Calculations!I98,'cfs limit calculation'!H$17),IF('cfs limit calculation'!H$19&gt;Calculations!I98,Calculations!I98,'cfs limit calculation'!H$19))</f>
        <v>172.57340946166397</v>
      </c>
      <c r="J99" s="32">
        <f>IF($P97="Pre",IF('cfs limit calculation'!I$17&gt;Calculations!J98,Calculations!J98,'cfs limit calculation'!I$17),IF('cfs limit calculation'!I$19&gt;Calculations!J98,Calculations!J98,'cfs limit calculation'!I$19))</f>
        <v>20.061480255379525</v>
      </c>
      <c r="K99" s="32">
        <f>IF($P97="Pre",IF('cfs limit calculation'!J$17&gt;Calculations!K98,Calculations!K98,'cfs limit calculation'!J$17),IF('cfs limit calculation'!J$19&gt;Calculations!K98,Calculations!K98,'cfs limit calculation'!J$19))</f>
        <v>0.42459913961673834</v>
      </c>
      <c r="L99" s="32">
        <f>IF($P97="Pre",IF('cfs limit calculation'!K$17&gt;Calculations!L98,Calculations!L98,'cfs limit calculation'!K$17),IF('cfs limit calculation'!K$19&gt;Calculations!L98,Calculations!L98,'cfs limit calculation'!K$19))</f>
        <v>260.11287347842125</v>
      </c>
      <c r="M99" s="32">
        <f>IF($P97="Pre",IF('cfs limit calculation'!L$17&gt;Calculations!M98,Calculations!M98,'cfs limit calculation'!L$17),IF('cfs limit calculation'!L$19&gt;Calculations!M98,Calculations!M98,'cfs limit calculation'!L$19))</f>
        <v>554.4</v>
      </c>
      <c r="N99" s="74">
        <f>IF($P97="Pre",IF('cfs limit calculation'!M$17&gt;Calculations!N98,Calculations!N98,'cfs limit calculation'!M$17),IF('cfs limit calculation'!M$19&gt;Calculations!N98,Calculations!N98,'cfs limit calculation'!M$19))</f>
        <v>470.75431537962362</v>
      </c>
      <c r="O99" s="85"/>
      <c r="P99" s="189"/>
      <c r="Q99" s="5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 spans="1:29" ht="15" customHeight="1" thickBot="1" x14ac:dyDescent="0.3">
      <c r="A100" s="44"/>
      <c r="B100" s="50" t="s">
        <v>42</v>
      </c>
      <c r="C100" s="265">
        <f t="shared" ref="C100:N100" si="206">+C99/C97</f>
        <v>0.61789830508474575</v>
      </c>
      <c r="D100" s="272">
        <f t="shared" si="206"/>
        <v>0.56308474576271172</v>
      </c>
      <c r="E100" s="272">
        <f t="shared" si="206"/>
        <v>0.61789830508474575</v>
      </c>
      <c r="F100" s="272">
        <f t="shared" si="206"/>
        <v>0.59796610169491515</v>
      </c>
      <c r="G100" s="272">
        <f t="shared" si="206"/>
        <v>0.61789830508474575</v>
      </c>
      <c r="H100" s="272">
        <f t="shared" si="206"/>
        <v>0.66943058528068256</v>
      </c>
      <c r="I100" s="272">
        <f t="shared" si="206"/>
        <v>0.49885719085575853</v>
      </c>
      <c r="J100" s="272">
        <f t="shared" si="206"/>
        <v>0.14928538975623856</v>
      </c>
      <c r="K100" s="272">
        <f t="shared" si="206"/>
        <v>3.0862725522053814E-3</v>
      </c>
      <c r="L100" s="272">
        <f t="shared" si="206"/>
        <v>0.28055317632495358</v>
      </c>
      <c r="M100" s="272">
        <f t="shared" si="206"/>
        <v>0.59796610169491515</v>
      </c>
      <c r="N100" s="273">
        <f t="shared" si="206"/>
        <v>0.50774733554042606</v>
      </c>
      <c r="O100" s="78"/>
      <c r="P100" s="191"/>
      <c r="Q100" s="5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 spans="1:29" ht="15" customHeight="1" x14ac:dyDescent="0.25">
      <c r="A101" s="85">
        <v>2006</v>
      </c>
      <c r="B101" s="58" t="s">
        <v>45</v>
      </c>
      <c r="C101" s="47">
        <f>+'Monthly Historical Flow-Gen'!B44</f>
        <v>1662.2740384615383</v>
      </c>
      <c r="D101" s="94">
        <f>+'Monthly Historical Flow-Gen'!C44</f>
        <v>1551.3966346153845</v>
      </c>
      <c r="E101" s="94">
        <f>+'Monthly Historical Flow-Gen'!D44</f>
        <v>505.77836538461543</v>
      </c>
      <c r="F101" s="94">
        <f>+'Monthly Historical Flow-Gen'!E44</f>
        <v>408.73846153846154</v>
      </c>
      <c r="G101" s="94">
        <f>+'Monthly Historical Flow-Gen'!F44</f>
        <v>1255.1322115384614</v>
      </c>
      <c r="H101" s="94">
        <f>+'Monthly Historical Flow-Gen'!G44</f>
        <v>2180.2932692307691</v>
      </c>
      <c r="I101" s="94">
        <f>+'Monthly Historical Flow-Gen'!H44</f>
        <v>449.54134615384612</v>
      </c>
      <c r="J101" s="94">
        <f>+'Monthly Historical Flow-Gen'!I44</f>
        <v>214.48124999999999</v>
      </c>
      <c r="K101" s="94">
        <f>+'Monthly Historical Flow-Gen'!J44</f>
        <v>211.19927884615382</v>
      </c>
      <c r="L101" s="94">
        <f>+'Monthly Historical Flow-Gen'!K44</f>
        <v>435.70384615384614</v>
      </c>
      <c r="M101" s="94">
        <f>+'Monthly Historical Flow-Gen'!L44</f>
        <v>1267.5504807692307</v>
      </c>
      <c r="N101" s="103">
        <f>+'Monthly Historical Flow-Gen'!M44</f>
        <v>809.49374999999998</v>
      </c>
      <c r="O101" s="86">
        <f>+A101</f>
        <v>2006</v>
      </c>
      <c r="P101" s="188"/>
      <c r="Q101" s="5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 spans="1:29" ht="15" customHeight="1" x14ac:dyDescent="0.25">
      <c r="A102" s="85"/>
      <c r="B102" s="48" t="s">
        <v>43</v>
      </c>
      <c r="C102" s="47">
        <f>IF(C101&gt;$O102,$O102,C101)</f>
        <v>927.14285714285722</v>
      </c>
      <c r="D102" s="46">
        <f t="shared" ref="D102" si="207">IF(D101&gt;$O102,$O102,D101)</f>
        <v>927.14285714285722</v>
      </c>
      <c r="E102" s="46">
        <f t="shared" ref="E102" si="208">IF(E101&gt;$O102,$O102,E101)</f>
        <v>505.77836538461543</v>
      </c>
      <c r="F102" s="46">
        <f t="shared" ref="F102" si="209">IF(F101&gt;$O102,$O102,F101)</f>
        <v>408.73846153846154</v>
      </c>
      <c r="G102" s="46">
        <f t="shared" ref="G102" si="210">IF(G101&gt;$O102,$O102,G101)</f>
        <v>927.14285714285722</v>
      </c>
      <c r="H102" s="46">
        <f t="shared" ref="H102" si="211">IF(H101&gt;$O102,$O102,H101)</f>
        <v>927.14285714285722</v>
      </c>
      <c r="I102" s="46">
        <f t="shared" ref="I102" si="212">IF(I101&gt;$O102,$O102,I101)</f>
        <v>449.54134615384612</v>
      </c>
      <c r="J102" s="46">
        <f t="shared" ref="J102" si="213">IF(J101&gt;$O102,$O102,J101)</f>
        <v>214.48124999999999</v>
      </c>
      <c r="K102" s="46">
        <f t="shared" ref="K102" si="214">IF(K101&gt;$O102,$O102,K101)</f>
        <v>211.19927884615382</v>
      </c>
      <c r="L102" s="46">
        <f t="shared" ref="L102" si="215">IF(L101&gt;$O102,$O102,L101)</f>
        <v>435.70384615384614</v>
      </c>
      <c r="M102" s="46">
        <f t="shared" ref="M102" si="216">IF(M101&gt;$O102,$O102,M101)</f>
        <v>927.14285714285722</v>
      </c>
      <c r="N102" s="45">
        <f t="shared" ref="N102" si="217">IF(N101&gt;$O102,$O102,N101)</f>
        <v>809.49374999999998</v>
      </c>
      <c r="O102" s="185">
        <f>IF(P102="Pre",'cfs limit calculation'!$E$6,'cfs limit calculation'!$E$11)</f>
        <v>927.14285714285722</v>
      </c>
      <c r="P102" s="190" t="str">
        <f>+P97</f>
        <v>Pre</v>
      </c>
      <c r="Q102" s="5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 spans="1:29" ht="15" customHeight="1" x14ac:dyDescent="0.25">
      <c r="A103" s="85"/>
      <c r="B103" s="8" t="s">
        <v>44</v>
      </c>
      <c r="C103" s="47">
        <f>+'Monthly Historical Flow-Gen'!B70</f>
        <v>1156.9273934030571</v>
      </c>
      <c r="D103" s="73">
        <f>+'Monthly Historical Flow-Gen'!C70</f>
        <v>1090.8784478096268</v>
      </c>
      <c r="E103" s="73">
        <f>+'Monthly Historical Flow-Gen'!D70</f>
        <v>334.43492931196982</v>
      </c>
      <c r="F103" s="73">
        <f>+'Monthly Historical Flow-Gen'!E70</f>
        <v>274.2796694214876</v>
      </c>
      <c r="G103" s="73">
        <f>+'Monthly Historical Flow-Gen'!F70</f>
        <v>1000.8425702811246</v>
      </c>
      <c r="H103" s="73">
        <f>+'Monthly Historical Flow-Gen'!G70</f>
        <v>1459.5549993046866</v>
      </c>
      <c r="I103" s="73">
        <f>+'Monthly Historical Flow-Gen'!H70</f>
        <v>224.25693311582381</v>
      </c>
      <c r="J103" s="73">
        <f>+'Monthly Historical Flow-Gen'!I70</f>
        <v>32.01891700165524</v>
      </c>
      <c r="K103" s="73">
        <f>+'Monthly Historical Flow-Gen'!J70</f>
        <v>0.65181853734845518</v>
      </c>
      <c r="L103" s="73">
        <f>+'Monthly Historical Flow-Gen'!K70</f>
        <v>48.195942456658067</v>
      </c>
      <c r="M103" s="73">
        <f>+'Monthly Historical Flow-Gen'!L70</f>
        <v>653.88178025034767</v>
      </c>
      <c r="N103" s="74">
        <f>+'Monthly Historical Flow-Gen'!M70</f>
        <v>309.96420506164827</v>
      </c>
      <c r="O103" s="85"/>
      <c r="P103" s="189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 spans="1:29" ht="15" customHeight="1" x14ac:dyDescent="0.25">
      <c r="B104" s="22" t="s">
        <v>67</v>
      </c>
      <c r="C104" s="47">
        <f>IF($P102="Pre",IF('cfs limit calculation'!B$17&gt;Calculations!C103,Calculations!C103,'cfs limit calculation'!B$17),IF('cfs limit calculation'!B$19&gt;Calculations!C103,Calculations!C103,'cfs limit calculation'!B$19))</f>
        <v>572.88</v>
      </c>
      <c r="D104" s="32">
        <f>IF($P102="Pre",IF('cfs limit calculation'!C$17&gt;Calculations!D103,Calculations!D103,'cfs limit calculation'!C$17),IF('cfs limit calculation'!C$19&gt;Calculations!D103,Calculations!D103,'cfs limit calculation'!C$19))</f>
        <v>522.05999999999995</v>
      </c>
      <c r="E104" s="31">
        <f>IF($P102="Pre",IF('cfs limit calculation'!D$17&gt;Calculations!E103,Calculations!E103,'cfs limit calculation'!D$17),IF('cfs limit calculation'!D$19&gt;Calculations!E103,Calculations!E103,'cfs limit calculation'!D$19))</f>
        <v>334.43492931196982</v>
      </c>
      <c r="F104" s="32">
        <f>IF($P102="Pre",IF('cfs limit calculation'!E$17&gt;Calculations!F103,Calculations!F103,'cfs limit calculation'!E$17),IF('cfs limit calculation'!E$19&gt;Calculations!F103,Calculations!F103,'cfs limit calculation'!E$19))</f>
        <v>274.2796694214876</v>
      </c>
      <c r="G104" s="32">
        <f>IF($P102="Pre",IF('cfs limit calculation'!F$17&gt;Calculations!G103,Calculations!G103,'cfs limit calculation'!F$17),IF('cfs limit calculation'!F$19&gt;Calculations!G103,Calculations!G103,'cfs limit calculation'!F$19))</f>
        <v>572.88</v>
      </c>
      <c r="H104" s="32">
        <f>IF($P102="Pre",IF('cfs limit calculation'!G$17&gt;Calculations!H103,Calculations!H103,'cfs limit calculation'!G$17),IF('cfs limit calculation'!G$19&gt;Calculations!H103,Calculations!H103,'cfs limit calculation'!G$19))</f>
        <v>554.4</v>
      </c>
      <c r="I104" s="32">
        <f>IF($P102="Pre",IF('cfs limit calculation'!H$17&gt;Calculations!I103,Calculations!I103,'cfs limit calculation'!H$17),IF('cfs limit calculation'!H$19&gt;Calculations!I103,Calculations!I103,'cfs limit calculation'!H$19))</f>
        <v>224.25693311582381</v>
      </c>
      <c r="J104" s="32">
        <f>IF($P102="Pre",IF('cfs limit calculation'!I$17&gt;Calculations!J103,Calculations!J103,'cfs limit calculation'!I$17),IF('cfs limit calculation'!I$19&gt;Calculations!J103,Calculations!J103,'cfs limit calculation'!I$19))</f>
        <v>32.01891700165524</v>
      </c>
      <c r="K104" s="32">
        <f>IF($P102="Pre",IF('cfs limit calculation'!J$17&gt;Calculations!K103,Calculations!K103,'cfs limit calculation'!J$17),IF('cfs limit calculation'!J$19&gt;Calculations!K103,Calculations!K103,'cfs limit calculation'!J$19))</f>
        <v>0.65181853734845518</v>
      </c>
      <c r="L104" s="32">
        <f>IF($P102="Pre",IF('cfs limit calculation'!K$17&gt;Calculations!L103,Calculations!L103,'cfs limit calculation'!K$17),IF('cfs limit calculation'!K$19&gt;Calculations!L103,Calculations!L103,'cfs limit calculation'!K$19))</f>
        <v>48.195942456658067</v>
      </c>
      <c r="M104" s="32">
        <f>IF($P102="Pre",IF('cfs limit calculation'!L$17&gt;Calculations!M103,Calculations!M103,'cfs limit calculation'!L$17),IF('cfs limit calculation'!L$19&gt;Calculations!M103,Calculations!M103,'cfs limit calculation'!L$19))</f>
        <v>554.4</v>
      </c>
      <c r="N104" s="74">
        <f>IF($P102="Pre",IF('cfs limit calculation'!M$17&gt;Calculations!N103,Calculations!N103,'cfs limit calculation'!M$17),IF('cfs limit calculation'!M$19&gt;Calculations!N103,Calculations!N103,'cfs limit calculation'!M$19))</f>
        <v>309.96420506164827</v>
      </c>
      <c r="O104" s="65"/>
      <c r="P104" s="48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 spans="1:29" ht="15" customHeight="1" thickBot="1" x14ac:dyDescent="0.4">
      <c r="A105" s="44"/>
      <c r="B105" s="50" t="s">
        <v>42</v>
      </c>
      <c r="C105" s="265">
        <f t="shared" ref="C105:N105" si="218">+C104/C102</f>
        <v>0.61789830508474575</v>
      </c>
      <c r="D105" s="272">
        <f t="shared" si="218"/>
        <v>0.56308474576271172</v>
      </c>
      <c r="E105" s="272">
        <f t="shared" si="218"/>
        <v>0.66122822208429433</v>
      </c>
      <c r="F105" s="272">
        <f t="shared" si="218"/>
        <v>0.67103954051478076</v>
      </c>
      <c r="G105" s="272">
        <f t="shared" si="218"/>
        <v>0.61789830508474575</v>
      </c>
      <c r="H105" s="272">
        <f t="shared" si="218"/>
        <v>0.59796610169491515</v>
      </c>
      <c r="I105" s="272">
        <f t="shared" si="218"/>
        <v>0.49885719085575853</v>
      </c>
      <c r="J105" s="272">
        <f t="shared" si="218"/>
        <v>0.14928538975623856</v>
      </c>
      <c r="K105" s="272">
        <f t="shared" si="218"/>
        <v>3.0862725522053814E-3</v>
      </c>
      <c r="L105" s="272">
        <f t="shared" si="218"/>
        <v>0.11061628875233794</v>
      </c>
      <c r="M105" s="272">
        <f t="shared" si="218"/>
        <v>0.59796610169491515</v>
      </c>
      <c r="N105" s="273">
        <f t="shared" si="218"/>
        <v>0.38291117758679211</v>
      </c>
      <c r="O105" s="78"/>
      <c r="P105" s="191"/>
      <c r="R105" s="57"/>
    </row>
    <row r="106" spans="1:29" ht="15" customHeight="1" x14ac:dyDescent="0.35">
      <c r="A106" s="85">
        <v>2007</v>
      </c>
      <c r="B106" s="58" t="s">
        <v>45</v>
      </c>
      <c r="C106" s="47">
        <f>+'Monthly Historical Flow-Gen'!B45</f>
        <v>876.10889423076924</v>
      </c>
      <c r="D106" s="94">
        <f>+'Monthly Historical Flow-Gen'!C45</f>
        <v>307.97307692307692</v>
      </c>
      <c r="E106" s="94">
        <f>+'Monthly Historical Flow-Gen'!D45</f>
        <v>1452.0504807692307</v>
      </c>
      <c r="F106" s="94">
        <f>+'Monthly Historical Flow-Gen'!E45</f>
        <v>2418.0144230769229</v>
      </c>
      <c r="G106" s="94">
        <f>+'Monthly Historical Flow-Gen'!F45</f>
        <v>1063.5360576923076</v>
      </c>
      <c r="H106" s="94">
        <f>+'Monthly Historical Flow-Gen'!G45</f>
        <v>480.85312499999998</v>
      </c>
      <c r="I106" s="94">
        <f>+'Monthly Historical Flow-Gen'!H45</f>
        <v>165.07427884615385</v>
      </c>
      <c r="J106" s="94">
        <f>+'Monthly Historical Flow-Gen'!I45</f>
        <v>99.789663461538453</v>
      </c>
      <c r="K106" s="94">
        <f>+'Monthly Historical Flow-Gen'!J45</f>
        <v>91.096874999999997</v>
      </c>
      <c r="L106" s="32">
        <f>+'Monthly Historical Flow-Gen'!K45</f>
        <v>174.03317307692305</v>
      </c>
      <c r="M106" s="32">
        <f>+'Monthly Historical Flow-Gen'!L45</f>
        <v>185.29831730769232</v>
      </c>
      <c r="N106" s="82">
        <f>+'Monthly Historical Flow-Gen'!M45</f>
        <v>278.70144230769228</v>
      </c>
      <c r="O106" s="85">
        <f>+A106</f>
        <v>2007</v>
      </c>
      <c r="P106" s="189"/>
      <c r="R106" s="57"/>
    </row>
    <row r="107" spans="1:29" ht="15" customHeight="1" x14ac:dyDescent="0.35">
      <c r="A107" s="85"/>
      <c r="B107" s="48" t="s">
        <v>43</v>
      </c>
      <c r="C107" s="47">
        <f>IF(C106&gt;$O107,$O107,C106)</f>
        <v>876.10889423076924</v>
      </c>
      <c r="D107" s="46">
        <f t="shared" ref="D107" si="219">IF(D106&gt;$O107,$O107,D106)</f>
        <v>307.97307692307692</v>
      </c>
      <c r="E107" s="46">
        <f t="shared" ref="E107" si="220">IF(E106&gt;$O107,$O107,E106)</f>
        <v>927.14285714285722</v>
      </c>
      <c r="F107" s="46">
        <f t="shared" ref="F107" si="221">IF(F106&gt;$O107,$O107,F106)</f>
        <v>927.14285714285722</v>
      </c>
      <c r="G107" s="46">
        <f t="shared" ref="G107" si="222">IF(G106&gt;$O107,$O107,G106)</f>
        <v>927.14285714285722</v>
      </c>
      <c r="H107" s="46">
        <f t="shared" ref="H107" si="223">IF(H106&gt;$O107,$O107,H106)</f>
        <v>480.85312499999998</v>
      </c>
      <c r="I107" s="46">
        <f t="shared" ref="I107" si="224">IF(I106&gt;$O107,$O107,I106)</f>
        <v>165.07427884615385</v>
      </c>
      <c r="J107" s="46">
        <f t="shared" ref="J107" si="225">IF(J106&gt;$O107,$O107,J106)</f>
        <v>99.789663461538453</v>
      </c>
      <c r="K107" s="46">
        <f t="shared" ref="K107" si="226">IF(K106&gt;$O107,$O107,K106)</f>
        <v>91.096874999999997</v>
      </c>
      <c r="L107" s="46">
        <f t="shared" ref="L107" si="227">IF(L106&gt;$O107,$O107,L106)</f>
        <v>174.03317307692305</v>
      </c>
      <c r="M107" s="46">
        <f t="shared" ref="M107" si="228">IF(M106&gt;$O107,$O107,M106)</f>
        <v>185.29831730769232</v>
      </c>
      <c r="N107" s="45">
        <f t="shared" ref="N107" si="229">IF(N106&gt;$O107,$O107,N106)</f>
        <v>278.70144230769228</v>
      </c>
      <c r="O107" s="185">
        <f>IF(P107="Pre",'cfs limit calculation'!$E$6,'cfs limit calculation'!$E$11)</f>
        <v>927.14285714285722</v>
      </c>
      <c r="P107" s="190" t="str">
        <f>+P102</f>
        <v>Pre</v>
      </c>
      <c r="R107" s="57"/>
    </row>
    <row r="108" spans="1:29" ht="15" customHeight="1" x14ac:dyDescent="0.25">
      <c r="A108" s="85"/>
      <c r="B108" s="8" t="s">
        <v>44</v>
      </c>
      <c r="C108" s="47">
        <f>+'Monthly Historical Flow-Gen'!B71</f>
        <v>609.76370675784392</v>
      </c>
      <c r="D108" s="73">
        <f>+'Monthly Historical Flow-Gen'!C71</f>
        <v>216.55402920497568</v>
      </c>
      <c r="E108" s="73">
        <f>+'Monthly Historical Flow-Gen'!D71</f>
        <v>960.13675777568324</v>
      </c>
      <c r="F108" s="73">
        <f>+'Monthly Historical Flow-Gen'!E71</f>
        <v>1622.583287419651</v>
      </c>
      <c r="G108" s="73">
        <f>+'Monthly Historical Flow-Gen'!F71</f>
        <v>848.0637751004017</v>
      </c>
      <c r="H108" s="73">
        <f>+'Monthly Historical Flow-Gen'!G71</f>
        <v>321.89778890279518</v>
      </c>
      <c r="I108" s="73">
        <f>+'Monthly Historical Flow-Gen'!H71</f>
        <v>82.348491027732464</v>
      </c>
      <c r="J108" s="73">
        <f>+'Monthly Historical Flow-Gen'!I71</f>
        <v>14.897138803499645</v>
      </c>
      <c r="K108" s="73">
        <f>+'Monthly Historical Flow-Gen'!J71</f>
        <v>0.28114978490418457</v>
      </c>
      <c r="L108" s="73">
        <f>+'Monthly Historical Flow-Gen'!K71</f>
        <v>19.250903725562523</v>
      </c>
      <c r="M108" s="73">
        <f>+'Monthly Historical Flow-Gen'!L71</f>
        <v>95.588456189151614</v>
      </c>
      <c r="N108" s="74">
        <f>+'Monthly Historical Flow-Gen'!M71</f>
        <v>106.71789746917585</v>
      </c>
      <c r="O108" s="85"/>
      <c r="P108" s="189"/>
      <c r="Q108" s="14"/>
      <c r="R108" s="56"/>
    </row>
    <row r="109" spans="1:29" ht="15" customHeight="1" x14ac:dyDescent="0.25">
      <c r="B109" s="22" t="s">
        <v>67</v>
      </c>
      <c r="C109" s="47">
        <f>IF($P107="Pre",IF('cfs limit calculation'!B$17&gt;Calculations!C108,Calculations!C108,'cfs limit calculation'!B$17),IF('cfs limit calculation'!B$19&gt;Calculations!C108,Calculations!C108,'cfs limit calculation'!B$19))</f>
        <v>572.88</v>
      </c>
      <c r="D109" s="32">
        <f>IF($P107="Pre",IF('cfs limit calculation'!C$17&gt;Calculations!D108,Calculations!D108,'cfs limit calculation'!C$17),IF('cfs limit calculation'!C$19&gt;Calculations!D108,Calculations!D108,'cfs limit calculation'!C$19))</f>
        <v>216.55402920497568</v>
      </c>
      <c r="E109" s="31">
        <f>IF($P107="Pre",IF('cfs limit calculation'!D$17&gt;Calculations!E108,Calculations!E108,'cfs limit calculation'!D$17),IF('cfs limit calculation'!D$19&gt;Calculations!E108,Calculations!E108,'cfs limit calculation'!D$19))</f>
        <v>572.88</v>
      </c>
      <c r="F109" s="32">
        <f>IF($P107="Pre",IF('cfs limit calculation'!E$17&gt;Calculations!F108,Calculations!F108,'cfs limit calculation'!E$17),IF('cfs limit calculation'!E$19&gt;Calculations!F108,Calculations!F108,'cfs limit calculation'!E$19))</f>
        <v>554.4</v>
      </c>
      <c r="G109" s="32">
        <f>IF($P107="Pre",IF('cfs limit calculation'!F$17&gt;Calculations!G108,Calculations!G108,'cfs limit calculation'!F$17),IF('cfs limit calculation'!F$19&gt;Calculations!G108,Calculations!G108,'cfs limit calculation'!F$19))</f>
        <v>572.88</v>
      </c>
      <c r="H109" s="32">
        <f>IF($P107="Pre",IF('cfs limit calculation'!G$17&gt;Calculations!H108,Calculations!H108,'cfs limit calculation'!G$17),IF('cfs limit calculation'!G$19&gt;Calculations!H108,Calculations!H108,'cfs limit calculation'!G$19))</f>
        <v>321.89778890279518</v>
      </c>
      <c r="I109" s="32">
        <f>IF($P107="Pre",IF('cfs limit calculation'!H$17&gt;Calculations!I108,Calculations!I108,'cfs limit calculation'!H$17),IF('cfs limit calculation'!H$19&gt;Calculations!I108,Calculations!I108,'cfs limit calculation'!H$19))</f>
        <v>82.348491027732464</v>
      </c>
      <c r="J109" s="32">
        <f>IF($P107="Pre",IF('cfs limit calculation'!I$17&gt;Calculations!J108,Calculations!J108,'cfs limit calculation'!I$17),IF('cfs limit calculation'!I$19&gt;Calculations!J108,Calculations!J108,'cfs limit calculation'!I$19))</f>
        <v>14.897138803499645</v>
      </c>
      <c r="K109" s="32">
        <f>IF($P107="Pre",IF('cfs limit calculation'!J$17&gt;Calculations!K108,Calculations!K108,'cfs limit calculation'!J$17),IF('cfs limit calculation'!J$19&gt;Calculations!K108,Calculations!K108,'cfs limit calculation'!J$19))</f>
        <v>0.28114978490418457</v>
      </c>
      <c r="L109" s="32">
        <f>IF($P107="Pre",IF('cfs limit calculation'!K$17&gt;Calculations!L108,Calculations!L108,'cfs limit calculation'!K$17),IF('cfs limit calculation'!K$19&gt;Calculations!L108,Calculations!L108,'cfs limit calculation'!K$19))</f>
        <v>19.250903725562523</v>
      </c>
      <c r="M109" s="32">
        <f>IF($P107="Pre",IF('cfs limit calculation'!L$17&gt;Calculations!M108,Calculations!M108,'cfs limit calculation'!L$17),IF('cfs limit calculation'!L$19&gt;Calculations!M108,Calculations!M108,'cfs limit calculation'!L$19))</f>
        <v>95.588456189151614</v>
      </c>
      <c r="N109" s="74">
        <f>IF($P107="Pre",IF('cfs limit calculation'!M$17&gt;Calculations!N108,Calculations!N108,'cfs limit calculation'!M$17),IF('cfs limit calculation'!M$19&gt;Calculations!N108,Calculations!N108,'cfs limit calculation'!M$19))</f>
        <v>106.71789746917585</v>
      </c>
      <c r="O109" s="85"/>
      <c r="P109" s="189"/>
      <c r="R109" s="55"/>
      <c r="S109" s="55"/>
      <c r="T109" s="54"/>
      <c r="U109" s="53"/>
      <c r="V109" s="53"/>
      <c r="W109" s="54"/>
      <c r="X109" s="53"/>
      <c r="Y109" s="53"/>
      <c r="Z109" s="53"/>
      <c r="AA109" s="53"/>
      <c r="AB109" s="53"/>
      <c r="AC109" s="53"/>
    </row>
    <row r="110" spans="1:29" ht="15" customHeight="1" thickBot="1" x14ac:dyDescent="0.3">
      <c r="A110" s="44"/>
      <c r="B110" s="50" t="s">
        <v>42</v>
      </c>
      <c r="C110" s="265">
        <f t="shared" ref="C110:N110" si="230">+C109/C107</f>
        <v>0.653891318502129</v>
      </c>
      <c r="D110" s="272">
        <f t="shared" si="230"/>
        <v>0.70315896236301467</v>
      </c>
      <c r="E110" s="272">
        <f t="shared" si="230"/>
        <v>0.61789830508474575</v>
      </c>
      <c r="F110" s="272">
        <f t="shared" si="230"/>
        <v>0.59796610169491515</v>
      </c>
      <c r="G110" s="272">
        <f t="shared" si="230"/>
        <v>0.61789830508474575</v>
      </c>
      <c r="H110" s="272">
        <f t="shared" si="230"/>
        <v>0.66943058528068256</v>
      </c>
      <c r="I110" s="272">
        <f t="shared" si="230"/>
        <v>0.49885719085575847</v>
      </c>
      <c r="J110" s="272">
        <f t="shared" si="230"/>
        <v>0.14928538975623856</v>
      </c>
      <c r="K110" s="272">
        <f t="shared" si="230"/>
        <v>3.086272552205381E-3</v>
      </c>
      <c r="L110" s="272">
        <f t="shared" si="230"/>
        <v>0.11061628875233794</v>
      </c>
      <c r="M110" s="272">
        <f t="shared" si="230"/>
        <v>0.51586251606605082</v>
      </c>
      <c r="N110" s="273">
        <f t="shared" si="230"/>
        <v>0.38291117758679211</v>
      </c>
      <c r="O110" s="78"/>
      <c r="P110" s="191"/>
      <c r="Q110" s="52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 spans="1:29" ht="15" customHeight="1" x14ac:dyDescent="0.25">
      <c r="A111" s="85">
        <v>2008</v>
      </c>
      <c r="B111" s="58" t="s">
        <v>45</v>
      </c>
      <c r="C111" s="47">
        <f>+'Monthly Historical Flow-Gen'!B46</f>
        <v>746.6040865384615</v>
      </c>
      <c r="D111" s="94">
        <f>+'Monthly Historical Flow-Gen'!C46</f>
        <v>2270.7692307692305</v>
      </c>
      <c r="E111" s="94">
        <f>+'Monthly Historical Flow-Gen'!D46</f>
        <v>1972.7307692307691</v>
      </c>
      <c r="F111" s="94">
        <f>+'Monthly Historical Flow-Gen'!E46</f>
        <v>965.96394230769226</v>
      </c>
      <c r="G111" s="94">
        <f>+'Monthly Historical Flow-Gen'!F46</f>
        <v>674.489423076923</v>
      </c>
      <c r="H111" s="94">
        <f>+'Monthly Historical Flow-Gen'!G46</f>
        <v>265.21875</v>
      </c>
      <c r="I111" s="94">
        <f>+'Monthly Historical Flow-Gen'!H46</f>
        <v>328.99543269230765</v>
      </c>
      <c r="J111" s="94">
        <f>+'Monthly Historical Flow-Gen'!I46</f>
        <v>465.41899038461543</v>
      </c>
      <c r="K111" s="94">
        <f>+'Monthly Historical Flow-Gen'!J46</f>
        <v>689.21394230769226</v>
      </c>
      <c r="L111" s="32">
        <f>+'Monthly Historical Flow-Gen'!K46</f>
        <v>601.39903846153845</v>
      </c>
      <c r="M111" s="32">
        <f>+'Monthly Historical Flow-Gen'!L46</f>
        <v>716.62283653846146</v>
      </c>
      <c r="N111" s="82">
        <f>+'Monthly Historical Flow-Gen'!M46</f>
        <v>2090.7043269230767</v>
      </c>
      <c r="O111" s="85">
        <f>+A111</f>
        <v>2008</v>
      </c>
      <c r="P111" s="189"/>
      <c r="Q111" s="5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 spans="1:29" ht="15" customHeight="1" x14ac:dyDescent="0.25">
      <c r="A112" s="85"/>
      <c r="B112" s="48" t="s">
        <v>43</v>
      </c>
      <c r="C112" s="47">
        <f>IF(C111&gt;$O112,$O112,C111)</f>
        <v>746.6040865384615</v>
      </c>
      <c r="D112" s="46">
        <f t="shared" ref="D112" si="231">IF(D111&gt;$O112,$O112,D111)</f>
        <v>927.14285714285722</v>
      </c>
      <c r="E112" s="46">
        <f t="shared" ref="E112" si="232">IF(E111&gt;$O112,$O112,E111)</f>
        <v>927.14285714285722</v>
      </c>
      <c r="F112" s="46">
        <f t="shared" ref="F112" si="233">IF(F111&gt;$O112,$O112,F111)</f>
        <v>927.14285714285722</v>
      </c>
      <c r="G112" s="46">
        <f t="shared" ref="G112" si="234">IF(G111&gt;$O112,$O112,G111)</f>
        <v>674.489423076923</v>
      </c>
      <c r="H112" s="46">
        <f t="shared" ref="H112" si="235">IF(H111&gt;$O112,$O112,H111)</f>
        <v>265.21875</v>
      </c>
      <c r="I112" s="46">
        <f t="shared" ref="I112" si="236">IF(I111&gt;$O112,$O112,I111)</f>
        <v>328.99543269230765</v>
      </c>
      <c r="J112" s="46">
        <f t="shared" ref="J112" si="237">IF(J111&gt;$O112,$O112,J111)</f>
        <v>465.41899038461543</v>
      </c>
      <c r="K112" s="46">
        <f t="shared" ref="K112" si="238">IF(K111&gt;$O112,$O112,K111)</f>
        <v>689.21394230769226</v>
      </c>
      <c r="L112" s="46">
        <f t="shared" ref="L112" si="239">IF(L111&gt;$O112,$O112,L111)</f>
        <v>601.39903846153845</v>
      </c>
      <c r="M112" s="46">
        <f t="shared" ref="M112" si="240">IF(M111&gt;$O112,$O112,M111)</f>
        <v>716.62283653846146</v>
      </c>
      <c r="N112" s="45">
        <f t="shared" ref="N112" si="241">IF(N111&gt;$O112,$O112,N111)</f>
        <v>927.14285714285722</v>
      </c>
      <c r="O112" s="185">
        <f>IF(P112="Pre",'cfs limit calculation'!$E$6,'cfs limit calculation'!$E$11)</f>
        <v>927.14285714285722</v>
      </c>
      <c r="P112" s="190" t="str">
        <f>+P107</f>
        <v>Pre</v>
      </c>
      <c r="Q112" s="5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 spans="1:29" ht="15" customHeight="1" x14ac:dyDescent="0.25">
      <c r="A113" s="85"/>
      <c r="B113" s="8" t="s">
        <v>44</v>
      </c>
      <c r="C113" s="47">
        <f>+'Monthly Historical Flow-Gen'!B72</f>
        <v>519.62955551086077</v>
      </c>
      <c r="D113" s="73">
        <f>+'Monthly Historical Flow-Gen'!C72</f>
        <v>1596.7117360735531</v>
      </c>
      <c r="E113" s="73">
        <f>+'Monthly Historical Flow-Gen'!D72</f>
        <v>1304.4252591894438</v>
      </c>
      <c r="F113" s="73">
        <f>+'Monthly Historical Flow-Gen'!E72</f>
        <v>648.20000000000005</v>
      </c>
      <c r="G113" s="73">
        <f>+'Monthly Historical Flow-Gen'!F72</f>
        <v>537.83794377510048</v>
      </c>
      <c r="H113" s="73">
        <f>+'Monthly Historical Flow-Gen'!G72</f>
        <v>177.54554303991102</v>
      </c>
      <c r="I113" s="73">
        <f>+'Monthly Historical Flow-Gen'!H72</f>
        <v>164.12173735725938</v>
      </c>
      <c r="J113" s="73">
        <f>+'Monthly Historical Flow-Gen'!I72</f>
        <v>69.480255379522362</v>
      </c>
      <c r="K113" s="73">
        <f>+'Monthly Historical Flow-Gen'!J72</f>
        <v>2.127102072741494</v>
      </c>
      <c r="L113" s="73">
        <f>+'Monthly Historical Flow-Gen'!K72</f>
        <v>66.524529693839924</v>
      </c>
      <c r="M113" s="73">
        <f>+'Monthly Historical Flow-Gen'!L72</f>
        <v>369.67885952712101</v>
      </c>
      <c r="N113" s="74">
        <f>+'Monthly Historical Flow-Gen'!M72</f>
        <v>800.55405580791682</v>
      </c>
      <c r="O113" s="85"/>
      <c r="P113" s="189"/>
      <c r="Q113" s="5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 spans="1:29" ht="15" customHeight="1" x14ac:dyDescent="0.25">
      <c r="B114" s="22" t="s">
        <v>67</v>
      </c>
      <c r="C114" s="47">
        <f>IF($P112="Pre",IF('cfs limit calculation'!B$17&gt;Calculations!C113,Calculations!C113,'cfs limit calculation'!B$17),IF('cfs limit calculation'!B$19&gt;Calculations!C113,Calculations!C113,'cfs limit calculation'!B$19))</f>
        <v>519.62955551086077</v>
      </c>
      <c r="D114" s="32">
        <f>IF($P112="Pre",IF('cfs limit calculation'!C$17&gt;Calculations!D113,Calculations!D113,'cfs limit calculation'!C$17),IF('cfs limit calculation'!C$19&gt;Calculations!D113,Calculations!D113,'cfs limit calculation'!C$19))</f>
        <v>522.05999999999995</v>
      </c>
      <c r="E114" s="31">
        <f>IF($P112="Pre",IF('cfs limit calculation'!D$17&gt;Calculations!E113,Calculations!E113,'cfs limit calculation'!D$17),IF('cfs limit calculation'!D$19&gt;Calculations!E113,Calculations!E113,'cfs limit calculation'!D$19))</f>
        <v>572.88</v>
      </c>
      <c r="F114" s="32">
        <f>IF($P112="Pre",IF('cfs limit calculation'!E$17&gt;Calculations!F113,Calculations!F113,'cfs limit calculation'!E$17),IF('cfs limit calculation'!E$19&gt;Calculations!F113,Calculations!F113,'cfs limit calculation'!E$19))</f>
        <v>554.4</v>
      </c>
      <c r="G114" s="32">
        <f>IF($P112="Pre",IF('cfs limit calculation'!F$17&gt;Calculations!G113,Calculations!G113,'cfs limit calculation'!F$17),IF('cfs limit calculation'!F$19&gt;Calculations!G113,Calculations!G113,'cfs limit calculation'!F$19))</f>
        <v>537.83794377510048</v>
      </c>
      <c r="H114" s="32">
        <f>IF($P112="Pre",IF('cfs limit calculation'!G$17&gt;Calculations!H113,Calculations!H113,'cfs limit calculation'!G$17),IF('cfs limit calculation'!G$19&gt;Calculations!H113,Calculations!H113,'cfs limit calculation'!G$19))</f>
        <v>177.54554303991102</v>
      </c>
      <c r="I114" s="32">
        <f>IF($P112="Pre",IF('cfs limit calculation'!H$17&gt;Calculations!I113,Calculations!I113,'cfs limit calculation'!H$17),IF('cfs limit calculation'!H$19&gt;Calculations!I113,Calculations!I113,'cfs limit calculation'!H$19))</f>
        <v>164.12173735725938</v>
      </c>
      <c r="J114" s="32">
        <f>IF($P112="Pre",IF('cfs limit calculation'!I$17&gt;Calculations!J113,Calculations!J113,'cfs limit calculation'!I$17),IF('cfs limit calculation'!I$19&gt;Calculations!J113,Calculations!J113,'cfs limit calculation'!I$19))</f>
        <v>69.480255379522362</v>
      </c>
      <c r="K114" s="32">
        <f>IF($P112="Pre",IF('cfs limit calculation'!J$17&gt;Calculations!K113,Calculations!K113,'cfs limit calculation'!J$17),IF('cfs limit calculation'!J$19&gt;Calculations!K113,Calculations!K113,'cfs limit calculation'!J$19))</f>
        <v>2.127102072741494</v>
      </c>
      <c r="L114" s="32">
        <f>IF($P112="Pre",IF('cfs limit calculation'!K$17&gt;Calculations!L113,Calculations!L113,'cfs limit calculation'!K$17),IF('cfs limit calculation'!K$19&gt;Calculations!L113,Calculations!L113,'cfs limit calculation'!K$19))</f>
        <v>66.524529693839924</v>
      </c>
      <c r="M114" s="32">
        <f>IF($P112="Pre",IF('cfs limit calculation'!L$17&gt;Calculations!M113,Calculations!M113,'cfs limit calculation'!L$17),IF('cfs limit calculation'!L$19&gt;Calculations!M113,Calculations!M113,'cfs limit calculation'!L$19))</f>
        <v>369.67885952712101</v>
      </c>
      <c r="N114" s="74">
        <f>IF($P112="Pre",IF('cfs limit calculation'!M$17&gt;Calculations!N113,Calculations!N113,'cfs limit calculation'!M$17),IF('cfs limit calculation'!M$19&gt;Calculations!N113,Calculations!N113,'cfs limit calculation'!M$19))</f>
        <v>572.88</v>
      </c>
      <c r="O114" s="85"/>
      <c r="P114" s="189"/>
      <c r="Q114" s="5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 spans="1:29" ht="15" customHeight="1" thickBot="1" x14ac:dyDescent="0.3">
      <c r="A115" s="44"/>
      <c r="B115" s="50" t="s">
        <v>42</v>
      </c>
      <c r="C115" s="265">
        <f t="shared" ref="C115:N115" si="242">+C114/C112</f>
        <v>0.69599077326251935</v>
      </c>
      <c r="D115" s="272">
        <f t="shared" si="242"/>
        <v>0.56308474576271172</v>
      </c>
      <c r="E115" s="272">
        <f t="shared" si="242"/>
        <v>0.61789830508474575</v>
      </c>
      <c r="F115" s="272">
        <f t="shared" si="242"/>
        <v>0.59796610169491515</v>
      </c>
      <c r="G115" s="272">
        <f t="shared" si="242"/>
        <v>0.7974001153666157</v>
      </c>
      <c r="H115" s="272">
        <f t="shared" si="242"/>
        <v>0.66943058528068256</v>
      </c>
      <c r="I115" s="272">
        <f t="shared" si="242"/>
        <v>0.49885719085575853</v>
      </c>
      <c r="J115" s="272">
        <f t="shared" si="242"/>
        <v>0.14928538975623856</v>
      </c>
      <c r="K115" s="272">
        <f t="shared" si="242"/>
        <v>3.0862725522053814E-3</v>
      </c>
      <c r="L115" s="272">
        <f t="shared" si="242"/>
        <v>0.11061628875233794</v>
      </c>
      <c r="M115" s="272">
        <f t="shared" si="242"/>
        <v>0.51586251606605082</v>
      </c>
      <c r="N115" s="273">
        <f t="shared" si="242"/>
        <v>0.61789830508474575</v>
      </c>
      <c r="O115" s="78"/>
      <c r="P115" s="191"/>
      <c r="Q115" s="5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 spans="1:29" ht="15" customHeight="1" x14ac:dyDescent="0.25">
      <c r="A116" s="85">
        <v>2009</v>
      </c>
      <c r="B116" s="58" t="s">
        <v>45</v>
      </c>
      <c r="C116" s="47">
        <f>+'Monthly Historical Flow-Gen'!B47</f>
        <v>1035.1514423076922</v>
      </c>
      <c r="D116" s="94">
        <f>+'Monthly Historical Flow-Gen'!C47</f>
        <v>929.59615384615381</v>
      </c>
      <c r="E116" s="94">
        <f>+'Monthly Historical Flow-Gen'!D47</f>
        <v>1076.8413461538462</v>
      </c>
      <c r="F116" s="94">
        <f>+'Monthly Historical Flow-Gen'!E47</f>
        <v>1085.7115384615383</v>
      </c>
      <c r="G116" s="94">
        <f>+'Monthly Historical Flow-Gen'!F47</f>
        <v>510.21346153846156</v>
      </c>
      <c r="H116" s="94">
        <f>+'Monthly Historical Flow-Gen'!G47</f>
        <v>441.82427884615385</v>
      </c>
      <c r="I116" s="94">
        <f>+'Monthly Historical Flow-Gen'!H47</f>
        <v>1264.0024038461538</v>
      </c>
      <c r="J116" s="94">
        <f>+'Monthly Historical Flow-Gen'!I47</f>
        <v>530.26009615384612</v>
      </c>
      <c r="K116" s="94">
        <f>+'Monthly Historical Flow-Gen'!J47</f>
        <v>213.23942307692306</v>
      </c>
      <c r="L116" s="32">
        <f>+'Monthly Historical Flow-Gen'!K47</f>
        <v>526.53461538461534</v>
      </c>
      <c r="M116" s="32">
        <f>+'Monthly Historical Flow-Gen'!L47</f>
        <v>782.35096153846155</v>
      </c>
      <c r="N116" s="82">
        <f>+'Monthly Historical Flow-Gen'!M47</f>
        <v>1234.7307692307693</v>
      </c>
      <c r="O116" s="86">
        <f>+A116</f>
        <v>2009</v>
      </c>
      <c r="P116" s="188"/>
      <c r="Q116" s="5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 spans="1:29" ht="15" customHeight="1" x14ac:dyDescent="0.25">
      <c r="A117" s="85"/>
      <c r="B117" s="48" t="s">
        <v>43</v>
      </c>
      <c r="C117" s="47">
        <f>IF(C116&gt;$O117,$O117,C116)</f>
        <v>927.14285714285722</v>
      </c>
      <c r="D117" s="46">
        <f t="shared" ref="D117" si="243">IF(D116&gt;$O117,$O117,D116)</f>
        <v>927.14285714285722</v>
      </c>
      <c r="E117" s="46">
        <f t="shared" ref="E117" si="244">IF(E116&gt;$O117,$O117,E116)</f>
        <v>927.14285714285722</v>
      </c>
      <c r="F117" s="46">
        <f t="shared" ref="F117" si="245">IF(F116&gt;$O117,$O117,F116)</f>
        <v>927.14285714285722</v>
      </c>
      <c r="G117" s="46">
        <f t="shared" ref="G117" si="246">IF(G116&gt;$O117,$O117,G116)</f>
        <v>510.21346153846156</v>
      </c>
      <c r="H117" s="46">
        <f t="shared" ref="H117" si="247">IF(H116&gt;$O117,$O117,H116)</f>
        <v>441.82427884615385</v>
      </c>
      <c r="I117" s="46">
        <f t="shared" ref="I117" si="248">IF(I116&gt;$O117,$O117,I116)</f>
        <v>927.14285714285722</v>
      </c>
      <c r="J117" s="46">
        <f t="shared" ref="J117" si="249">IF(J116&gt;$O117,$O117,J116)</f>
        <v>530.26009615384612</v>
      </c>
      <c r="K117" s="46">
        <f t="shared" ref="K117" si="250">IF(K116&gt;$O117,$O117,K116)</f>
        <v>213.23942307692306</v>
      </c>
      <c r="L117" s="46">
        <f t="shared" ref="L117" si="251">IF(L116&gt;$O117,$O117,L116)</f>
        <v>526.53461538461534</v>
      </c>
      <c r="M117" s="46">
        <f t="shared" ref="M117" si="252">IF(M116&gt;$O117,$O117,M116)</f>
        <v>782.35096153846155</v>
      </c>
      <c r="N117" s="45">
        <f t="shared" ref="N117" si="253">IF(N116&gt;$O117,$O117,N116)</f>
        <v>927.14285714285722</v>
      </c>
      <c r="O117" s="185">
        <f>IF(P117="Pre",'cfs limit calculation'!$E$6,'cfs limit calculation'!$E$11)</f>
        <v>927.14285714285722</v>
      </c>
      <c r="P117" s="190" t="str">
        <f>+P112</f>
        <v>Pre</v>
      </c>
      <c r="Q117" s="5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 spans="1:29" ht="15" customHeight="1" x14ac:dyDescent="0.25">
      <c r="A118" s="85"/>
      <c r="B118" s="8" t="s">
        <v>44</v>
      </c>
      <c r="C118" s="47">
        <f>+'Monthly Historical Flow-Gen'!B73</f>
        <v>720.45585277554301</v>
      </c>
      <c r="D118" s="73">
        <f>+'Monthly Historical Flow-Gen'!C73</f>
        <v>653.65386695511086</v>
      </c>
      <c r="E118" s="73">
        <f>+'Monthly Historical Flow-Gen'!D73</f>
        <v>712.03788878416583</v>
      </c>
      <c r="F118" s="73">
        <f>+'Monthly Historical Flow-Gen'!E73</f>
        <v>728.55537190082646</v>
      </c>
      <c r="G118" s="73">
        <f>+'Monthly Historical Flow-Gen'!F73</f>
        <v>406.84427309236958</v>
      </c>
      <c r="H118" s="73">
        <f>+'Monthly Historical Flow-Gen'!G73</f>
        <v>295.77068557919625</v>
      </c>
      <c r="I118" s="73">
        <f>+'Monthly Historical Flow-Gen'!H73</f>
        <v>630.55668841761826</v>
      </c>
      <c r="J118" s="73">
        <f>+'Monthly Historical Flow-Gen'!I73</f>
        <v>79.160085126507454</v>
      </c>
      <c r="K118" s="73">
        <f>+'Monthly Historical Flow-Gen'!J73</f>
        <v>0.65811497849041845</v>
      </c>
      <c r="L118" s="73">
        <f>+'Monthly Historical Flow-Gen'!K73</f>
        <v>58.243305053485798</v>
      </c>
      <c r="M118" s="73">
        <f>+'Monthly Historical Flow-Gen'!L73</f>
        <v>405</v>
      </c>
      <c r="N118" s="74">
        <f>+'Monthly Historical Flow-Gen'!M73</f>
        <v>717</v>
      </c>
      <c r="O118" s="85"/>
      <c r="P118" s="189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 spans="1:29" ht="15" customHeight="1" x14ac:dyDescent="0.25">
      <c r="B119" s="22" t="s">
        <v>67</v>
      </c>
      <c r="C119" s="47">
        <f>IF($P117="Pre",IF('cfs limit calculation'!B$17&gt;Calculations!C118,Calculations!C118,'cfs limit calculation'!B$17),IF('cfs limit calculation'!B$19&gt;Calculations!C118,Calculations!C118,'cfs limit calculation'!B$19))</f>
        <v>572.88</v>
      </c>
      <c r="D119" s="32">
        <f>IF($P117="Pre",IF('cfs limit calculation'!C$17&gt;Calculations!D118,Calculations!D118,'cfs limit calculation'!C$17),IF('cfs limit calculation'!C$19&gt;Calculations!D118,Calculations!D118,'cfs limit calculation'!C$19))</f>
        <v>522.05999999999995</v>
      </c>
      <c r="E119" s="31">
        <f>IF($P117="Pre",IF('cfs limit calculation'!D$17&gt;Calculations!E118,Calculations!E118,'cfs limit calculation'!D$17),IF('cfs limit calculation'!D$19&gt;Calculations!E118,Calculations!E118,'cfs limit calculation'!D$19))</f>
        <v>572.88</v>
      </c>
      <c r="F119" s="32">
        <f>IF($P117="Pre",IF('cfs limit calculation'!E$17&gt;Calculations!F118,Calculations!F118,'cfs limit calculation'!E$17),IF('cfs limit calculation'!E$19&gt;Calculations!F118,Calculations!F118,'cfs limit calculation'!E$19))</f>
        <v>554.4</v>
      </c>
      <c r="G119" s="32">
        <f>IF($P117="Pre",IF('cfs limit calculation'!F$17&gt;Calculations!G118,Calculations!G118,'cfs limit calculation'!F$17),IF('cfs limit calculation'!F$19&gt;Calculations!G118,Calculations!G118,'cfs limit calculation'!F$19))</f>
        <v>406.84427309236958</v>
      </c>
      <c r="H119" s="32">
        <f>IF($P117="Pre",IF('cfs limit calculation'!G$17&gt;Calculations!H118,Calculations!H118,'cfs limit calculation'!G$17),IF('cfs limit calculation'!G$19&gt;Calculations!H118,Calculations!H118,'cfs limit calculation'!G$19))</f>
        <v>295.77068557919625</v>
      </c>
      <c r="I119" s="32">
        <f>IF($P117="Pre",IF('cfs limit calculation'!H$17&gt;Calculations!I118,Calculations!I118,'cfs limit calculation'!H$17),IF('cfs limit calculation'!H$19&gt;Calculations!I118,Calculations!I118,'cfs limit calculation'!H$19))</f>
        <v>572.88</v>
      </c>
      <c r="J119" s="32">
        <f>IF($P117="Pre",IF('cfs limit calculation'!I$17&gt;Calculations!J118,Calculations!J118,'cfs limit calculation'!I$17),IF('cfs limit calculation'!I$19&gt;Calculations!J118,Calculations!J118,'cfs limit calculation'!I$19))</f>
        <v>79.160085126507454</v>
      </c>
      <c r="K119" s="32">
        <f>IF($P117="Pre",IF('cfs limit calculation'!J$17&gt;Calculations!K118,Calculations!K118,'cfs limit calculation'!J$17),IF('cfs limit calculation'!J$19&gt;Calculations!K118,Calculations!K118,'cfs limit calculation'!J$19))</f>
        <v>0.65811497849041845</v>
      </c>
      <c r="L119" s="32">
        <f>IF($P117="Pre",IF('cfs limit calculation'!K$17&gt;Calculations!L118,Calculations!L118,'cfs limit calculation'!K$17),IF('cfs limit calculation'!K$19&gt;Calculations!L118,Calculations!L118,'cfs limit calculation'!K$19))</f>
        <v>58.243305053485798</v>
      </c>
      <c r="M119" s="32">
        <f>IF($P117="Pre",IF('cfs limit calculation'!L$17&gt;Calculations!M118,Calculations!M118,'cfs limit calculation'!L$17),IF('cfs limit calculation'!L$19&gt;Calculations!M118,Calculations!M118,'cfs limit calculation'!L$19))</f>
        <v>405</v>
      </c>
      <c r="N119" s="74">
        <f>IF($P117="Pre",IF('cfs limit calculation'!M$17&gt;Calculations!N118,Calculations!N118,'cfs limit calculation'!M$17),IF('cfs limit calculation'!M$19&gt;Calculations!N118,Calculations!N118,'cfs limit calculation'!M$19))</f>
        <v>572.88</v>
      </c>
      <c r="O119" s="65"/>
      <c r="P119" s="48"/>
      <c r="Q119" s="5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 spans="1:29" ht="15" customHeight="1" thickBot="1" x14ac:dyDescent="0.3">
      <c r="A120" s="44"/>
      <c r="B120" s="50" t="s">
        <v>42</v>
      </c>
      <c r="C120" s="265">
        <f t="shared" ref="C120:N120" si="254">+C119/C117</f>
        <v>0.61789830508474575</v>
      </c>
      <c r="D120" s="272">
        <f t="shared" si="254"/>
        <v>0.56308474576271172</v>
      </c>
      <c r="E120" s="272">
        <f t="shared" si="254"/>
        <v>0.61789830508474575</v>
      </c>
      <c r="F120" s="272">
        <f t="shared" si="254"/>
        <v>0.59796610169491515</v>
      </c>
      <c r="G120" s="272">
        <f t="shared" si="254"/>
        <v>0.7974001153666157</v>
      </c>
      <c r="H120" s="272">
        <f t="shared" si="254"/>
        <v>0.66943058528068256</v>
      </c>
      <c r="I120" s="272">
        <f t="shared" si="254"/>
        <v>0.61789830508474575</v>
      </c>
      <c r="J120" s="272">
        <f t="shared" si="254"/>
        <v>0.14928538975623856</v>
      </c>
      <c r="K120" s="272">
        <f t="shared" si="254"/>
        <v>3.0862725522053814E-3</v>
      </c>
      <c r="L120" s="272">
        <f t="shared" si="254"/>
        <v>0.11061628875233792</v>
      </c>
      <c r="M120" s="272">
        <f t="shared" si="254"/>
        <v>0.51767048282727723</v>
      </c>
      <c r="N120" s="273">
        <f t="shared" si="254"/>
        <v>0.61789830508474575</v>
      </c>
      <c r="O120" s="78"/>
      <c r="P120" s="191"/>
      <c r="Q120" s="5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 spans="1:29" ht="15" customHeight="1" x14ac:dyDescent="0.35">
      <c r="A121" s="86">
        <v>2010</v>
      </c>
      <c r="B121" s="58" t="s">
        <v>45</v>
      </c>
      <c r="C121" s="47">
        <f>+'Monthly Historical Flow-Gen'!B48</f>
        <v>1040.4735576923076</v>
      </c>
      <c r="D121" s="94">
        <f>+'Monthly Historical Flow-Gen'!C48</f>
        <v>1161.1081730769231</v>
      </c>
      <c r="E121" s="94">
        <f>+'Monthly Historical Flow-Gen'!D48</f>
        <v>3124.96875</v>
      </c>
      <c r="F121" s="94">
        <f>+'Monthly Historical Flow-Gen'!E48</f>
        <v>1728.8004807692307</v>
      </c>
      <c r="G121" s="94">
        <f>+'Monthly Historical Flow-Gen'!F48</f>
        <v>514.82596153846146</v>
      </c>
      <c r="H121" s="94">
        <f>+'Monthly Historical Flow-Gen'!G48</f>
        <v>405.7225961538461</v>
      </c>
      <c r="I121" s="94">
        <f>+'Monthly Historical Flow-Gen'!H48</f>
        <v>129.32740384615386</v>
      </c>
      <c r="J121" s="94">
        <f>+'Monthly Historical Flow-Gen'!I48</f>
        <v>128.17427884615384</v>
      </c>
      <c r="K121" s="94">
        <f>+'Monthly Historical Flow-Gen'!J48</f>
        <v>113.89326923076923</v>
      </c>
      <c r="L121" s="32">
        <f>+'Monthly Historical Flow-Gen'!K48</f>
        <v>397.65072115384612</v>
      </c>
      <c r="M121" s="32">
        <f>+'Monthly Historical Flow-Gen'!L48</f>
        <v>463.7336538461538</v>
      </c>
      <c r="N121" s="82">
        <f>+'Monthly Historical Flow-Gen'!M48</f>
        <v>666.59495192307691</v>
      </c>
      <c r="O121" s="85">
        <f>+A121</f>
        <v>2010</v>
      </c>
      <c r="P121" s="189"/>
      <c r="R121" s="17"/>
      <c r="S121" s="17"/>
      <c r="T121" s="17"/>
      <c r="U121" s="17"/>
      <c r="V121" s="17"/>
      <c r="W121" s="17"/>
      <c r="X121" s="17"/>
      <c r="Y121" s="17"/>
      <c r="Z121" s="17"/>
      <c r="AA121" s="67"/>
      <c r="AB121" s="67"/>
      <c r="AC121" s="67"/>
    </row>
    <row r="122" spans="1:29" ht="15" customHeight="1" x14ac:dyDescent="0.35">
      <c r="A122" s="125"/>
      <c r="B122" s="48" t="s">
        <v>43</v>
      </c>
      <c r="C122" s="47">
        <f>IF(C121&gt;$O122,$O122,C121)</f>
        <v>927.14285714285722</v>
      </c>
      <c r="D122" s="46">
        <f t="shared" ref="D122" si="255">IF(D121&gt;$O122,$O122,D121)</f>
        <v>927.14285714285722</v>
      </c>
      <c r="E122" s="46">
        <f t="shared" ref="E122" si="256">IF(E121&gt;$O122,$O122,E121)</f>
        <v>927.14285714285722</v>
      </c>
      <c r="F122" s="46">
        <f t="shared" ref="F122" si="257">IF(F121&gt;$O122,$O122,F121)</f>
        <v>927.14285714285722</v>
      </c>
      <c r="G122" s="46">
        <f t="shared" ref="G122" si="258">IF(G121&gt;$O122,$O122,G121)</f>
        <v>514.82596153846146</v>
      </c>
      <c r="H122" s="46">
        <f t="shared" ref="H122" si="259">IF(H121&gt;$O122,$O122,H121)</f>
        <v>405.7225961538461</v>
      </c>
      <c r="I122" s="46">
        <f t="shared" ref="I122" si="260">IF(I121&gt;$O122,$O122,I121)</f>
        <v>129.32740384615386</v>
      </c>
      <c r="J122" s="46">
        <f t="shared" ref="J122" si="261">IF(J121&gt;$O122,$O122,J121)</f>
        <v>128.17427884615384</v>
      </c>
      <c r="K122" s="46">
        <f t="shared" ref="K122" si="262">IF(K121&gt;$O122,$O122,K121)</f>
        <v>113.89326923076923</v>
      </c>
      <c r="L122" s="46">
        <f t="shared" ref="L122" si="263">IF(L121&gt;$O122,$O122,L121)</f>
        <v>397.65072115384612</v>
      </c>
      <c r="M122" s="46">
        <f t="shared" ref="M122" si="264">IF(M121&gt;$O122,$O122,M121)</f>
        <v>463.7336538461538</v>
      </c>
      <c r="N122" s="45">
        <f t="shared" ref="N122" si="265">IF(N121&gt;$O122,$O122,N121)</f>
        <v>666.59495192307691</v>
      </c>
      <c r="O122" s="185">
        <f>IF(P122="Pre",'cfs limit calculation'!$E$6,'cfs limit calculation'!$E$11)</f>
        <v>927.14285714285722</v>
      </c>
      <c r="P122" s="190" t="s">
        <v>54</v>
      </c>
      <c r="R122" s="17"/>
      <c r="S122" s="17"/>
      <c r="T122" s="17"/>
      <c r="U122" s="17"/>
      <c r="V122" s="17"/>
      <c r="W122" s="17"/>
      <c r="X122" s="17"/>
      <c r="Y122" s="17"/>
      <c r="Z122" s="17"/>
      <c r="AA122" s="67"/>
      <c r="AB122" s="67"/>
      <c r="AC122" s="67"/>
    </row>
    <row r="123" spans="1:29" ht="15" customHeight="1" x14ac:dyDescent="0.25">
      <c r="A123" s="85"/>
      <c r="B123" s="8" t="s">
        <v>44</v>
      </c>
      <c r="C123" s="47">
        <f>+'Monthly Historical Flow-Gen'!B74</f>
        <v>669</v>
      </c>
      <c r="D123" s="46">
        <f>+'Monthly Historical Flow-Gen'!C74</f>
        <v>554</v>
      </c>
      <c r="E123" s="46">
        <f>+'Monthly Historical Flow-Gen'!D74</f>
        <v>742</v>
      </c>
      <c r="F123" s="46">
        <f>+'Monthly Historical Flow-Gen'!E74</f>
        <v>731</v>
      </c>
      <c r="G123" s="46">
        <f>+'Monthly Historical Flow-Gen'!F74</f>
        <v>419</v>
      </c>
      <c r="H123" s="46">
        <f>+'Monthly Historical Flow-Gen'!G74</f>
        <v>272</v>
      </c>
      <c r="I123" s="46">
        <f>+'Monthly Historical Flow-Gen'!H74</f>
        <v>0</v>
      </c>
      <c r="J123" s="46">
        <f>+'Monthly Historical Flow-Gen'!I74</f>
        <v>2</v>
      </c>
      <c r="K123" s="46">
        <f>+'Monthly Historical Flow-Gen'!J74</f>
        <v>0</v>
      </c>
      <c r="L123" s="46">
        <f>+'Monthly Historical Flow-Gen'!K74</f>
        <v>248</v>
      </c>
      <c r="M123" s="46">
        <f>+'Monthly Historical Flow-Gen'!L74</f>
        <v>383</v>
      </c>
      <c r="N123" s="45">
        <f>+'Monthly Historical Flow-Gen'!M74</f>
        <v>472</v>
      </c>
      <c r="O123" s="85"/>
      <c r="P123" s="189"/>
    </row>
    <row r="124" spans="1:29" ht="15" customHeight="1" x14ac:dyDescent="0.25">
      <c r="B124" s="22" t="s">
        <v>67</v>
      </c>
      <c r="C124" s="47">
        <f>IF($P122="Pre",IF('cfs limit calculation'!B$17&gt;Calculations!C123,Calculations!C123,'cfs limit calculation'!B$17),IF('cfs limit calculation'!B$19&gt;Calculations!C123,Calculations!C123,'cfs limit calculation'!B$19))</f>
        <v>572.88</v>
      </c>
      <c r="D124" s="46">
        <f>IF($P122="Pre",IF('cfs limit calculation'!C$17&gt;Calculations!D123,Calculations!D123,'cfs limit calculation'!C$17),IF('cfs limit calculation'!C$19&gt;Calculations!D123,Calculations!D123,'cfs limit calculation'!C$19))</f>
        <v>522.05999999999995</v>
      </c>
      <c r="E124" s="46">
        <f>IF($P122="Pre",IF('cfs limit calculation'!D$17&gt;Calculations!E123,Calculations!E123,'cfs limit calculation'!D$17),IF('cfs limit calculation'!D$19&gt;Calculations!E123,Calculations!E123,'cfs limit calculation'!D$19))</f>
        <v>572.88</v>
      </c>
      <c r="F124" s="46">
        <f>IF($P122="Pre",IF('cfs limit calculation'!E$17&gt;Calculations!F123,Calculations!F123,'cfs limit calculation'!E$17),IF('cfs limit calculation'!E$19&gt;Calculations!F123,Calculations!F123,'cfs limit calculation'!E$19))</f>
        <v>554.4</v>
      </c>
      <c r="G124" s="46">
        <f>IF($P122="Pre",IF('cfs limit calculation'!F$17&gt;Calculations!G123,Calculations!G123,'cfs limit calculation'!F$17),IF('cfs limit calculation'!F$19&gt;Calculations!G123,Calculations!G123,'cfs limit calculation'!F$19))</f>
        <v>419</v>
      </c>
      <c r="H124" s="46">
        <f>IF($P122="Pre",IF('cfs limit calculation'!G$17&gt;Calculations!H123,Calculations!H123,'cfs limit calculation'!G$17),IF('cfs limit calculation'!G$19&gt;Calculations!H123,Calculations!H123,'cfs limit calculation'!G$19))</f>
        <v>272</v>
      </c>
      <c r="I124" s="46">
        <f>IF($P122="Pre",IF('cfs limit calculation'!H$17&gt;Calculations!I123,Calculations!I123,'cfs limit calculation'!H$17),IF('cfs limit calculation'!H$19&gt;Calculations!I123,Calculations!I123,'cfs limit calculation'!H$19))</f>
        <v>0</v>
      </c>
      <c r="J124" s="46">
        <f>IF($P122="Pre",IF('cfs limit calculation'!I$17&gt;Calculations!J123,Calculations!J123,'cfs limit calculation'!I$17),IF('cfs limit calculation'!I$19&gt;Calculations!J123,Calculations!J123,'cfs limit calculation'!I$19))</f>
        <v>2</v>
      </c>
      <c r="K124" s="46">
        <f>IF($P122="Pre",IF('cfs limit calculation'!J$17&gt;Calculations!K123,Calculations!K123,'cfs limit calculation'!J$17),IF('cfs limit calculation'!J$19&gt;Calculations!K123,Calculations!K123,'cfs limit calculation'!J$19))</f>
        <v>0</v>
      </c>
      <c r="L124" s="46">
        <f>IF($P122="Pre",IF('cfs limit calculation'!K$17&gt;Calculations!L123,Calculations!L123,'cfs limit calculation'!K$17),IF('cfs limit calculation'!K$19&gt;Calculations!L123,Calculations!L123,'cfs limit calculation'!K$19))</f>
        <v>248</v>
      </c>
      <c r="M124" s="46">
        <f>IF($P122="Pre",IF('cfs limit calculation'!L$17&gt;Calculations!M123,Calculations!M123,'cfs limit calculation'!L$17),IF('cfs limit calculation'!L$19&gt;Calculations!M123,Calculations!M123,'cfs limit calculation'!L$19))</f>
        <v>383</v>
      </c>
      <c r="N124" s="45">
        <f>IF($P122="Pre",IF('cfs limit calculation'!M$17&gt;Calculations!N123,Calculations!N123,'cfs limit calculation'!M$17),IF('cfs limit calculation'!M$19&gt;Calculations!N123,Calculations!N123,'cfs limit calculation'!M$19))</f>
        <v>472</v>
      </c>
      <c r="O124" s="85"/>
      <c r="P124" s="189"/>
    </row>
    <row r="125" spans="1:29" ht="15" customHeight="1" thickBot="1" x14ac:dyDescent="0.3">
      <c r="A125" s="85"/>
      <c r="B125" s="50" t="s">
        <v>42</v>
      </c>
      <c r="C125" s="265">
        <f t="shared" ref="C125:N125" si="266">+C124/C122</f>
        <v>0.61789830508474575</v>
      </c>
      <c r="D125" s="266">
        <f t="shared" si="266"/>
        <v>0.56308474576271172</v>
      </c>
      <c r="E125" s="266">
        <f t="shared" si="266"/>
        <v>0.61789830508474575</v>
      </c>
      <c r="F125" s="266">
        <f t="shared" si="266"/>
        <v>0.59796610169491515</v>
      </c>
      <c r="G125" s="266">
        <f t="shared" si="266"/>
        <v>0.81386727030605954</v>
      </c>
      <c r="H125" s="266">
        <f t="shared" si="266"/>
        <v>0.6704088029074432</v>
      </c>
      <c r="I125" s="266">
        <f t="shared" si="266"/>
        <v>0</v>
      </c>
      <c r="J125" s="266">
        <f t="shared" si="266"/>
        <v>1.5603754653463491E-2</v>
      </c>
      <c r="K125" s="266">
        <f t="shared" si="266"/>
        <v>0</v>
      </c>
      <c r="L125" s="266">
        <f t="shared" si="266"/>
        <v>0.62366289511657114</v>
      </c>
      <c r="M125" s="266">
        <f t="shared" si="266"/>
        <v>0.82590512209636258</v>
      </c>
      <c r="N125" s="267">
        <f t="shared" si="266"/>
        <v>0.70807616925137984</v>
      </c>
      <c r="O125" s="78"/>
      <c r="P125" s="191"/>
    </row>
    <row r="126" spans="1:29" ht="15" customHeight="1" x14ac:dyDescent="0.25">
      <c r="A126" s="86">
        <v>2011</v>
      </c>
      <c r="B126" s="58" t="s">
        <v>45</v>
      </c>
      <c r="C126" s="47">
        <f>+'Monthly Historical Flow-Gen'!B49</f>
        <v>476.15192307692303</v>
      </c>
      <c r="D126" s="94">
        <f>+'Monthly Historical Flow-Gen'!C49</f>
        <v>750.50697115384617</v>
      </c>
      <c r="E126" s="94">
        <f>+'Monthly Historical Flow-Gen'!D49</f>
        <v>2189.1634615384614</v>
      </c>
      <c r="F126" s="94">
        <f>+'Monthly Historical Flow-Gen'!E49</f>
        <v>1207.2331730769231</v>
      </c>
      <c r="G126" s="94">
        <f>+'Monthly Historical Flow-Gen'!F49</f>
        <v>745.45096153846146</v>
      </c>
      <c r="H126" s="94">
        <f>+'Monthly Historical Flow-Gen'!G49</f>
        <v>604.94711538461536</v>
      </c>
      <c r="I126" s="94">
        <f>+'Monthly Historical Flow-Gen'!H49</f>
        <v>236.83413461538461</v>
      </c>
      <c r="J126" s="94">
        <f>+'Monthly Historical Flow-Gen'!I49</f>
        <v>899.4375</v>
      </c>
      <c r="K126" s="94">
        <f>+'Monthly Historical Flow-Gen'!J49</f>
        <v>1256.90625</v>
      </c>
      <c r="L126" s="32">
        <f>+'Monthly Historical Flow-Gen'!K49</f>
        <v>1267.5504807692307</v>
      </c>
      <c r="M126" s="32">
        <f>+'Monthly Historical Flow-Gen'!L49</f>
        <v>1354.4783653846152</v>
      </c>
      <c r="N126" s="82">
        <f>+'Monthly Historical Flow-Gen'!M49</f>
        <v>1606.3918269230769</v>
      </c>
      <c r="O126" s="85">
        <f>+A126</f>
        <v>2011</v>
      </c>
      <c r="P126" s="189"/>
    </row>
    <row r="127" spans="1:29" ht="15" customHeight="1" x14ac:dyDescent="0.25">
      <c r="A127" s="85"/>
      <c r="B127" s="48" t="s">
        <v>43</v>
      </c>
      <c r="C127" s="47">
        <f>IF(C126&gt;$O127,$O127,C126)</f>
        <v>476.15192307692303</v>
      </c>
      <c r="D127" s="46">
        <f t="shared" ref="D127" si="267">IF(D126&gt;$O127,$O127,D126)</f>
        <v>750.50697115384617</v>
      </c>
      <c r="E127" s="46">
        <f t="shared" ref="E127" si="268">IF(E126&gt;$O127,$O127,E126)</f>
        <v>927.14285714285722</v>
      </c>
      <c r="F127" s="46">
        <f t="shared" ref="F127" si="269">IF(F126&gt;$O127,$O127,F126)</f>
        <v>927.14285714285722</v>
      </c>
      <c r="G127" s="46">
        <f t="shared" ref="G127" si="270">IF(G126&gt;$O127,$O127,G126)</f>
        <v>745.45096153846146</v>
      </c>
      <c r="H127" s="46">
        <f t="shared" ref="H127" si="271">IF(H126&gt;$O127,$O127,H126)</f>
        <v>604.94711538461536</v>
      </c>
      <c r="I127" s="46">
        <f t="shared" ref="I127" si="272">IF(I126&gt;$O127,$O127,I126)</f>
        <v>236.83413461538461</v>
      </c>
      <c r="J127" s="46">
        <f t="shared" ref="J127" si="273">IF(J126&gt;$O127,$O127,J126)</f>
        <v>899.4375</v>
      </c>
      <c r="K127" s="46">
        <f t="shared" ref="K127" si="274">IF(K126&gt;$O127,$O127,K126)</f>
        <v>927.14285714285722</v>
      </c>
      <c r="L127" s="46">
        <f t="shared" ref="L127" si="275">IF(L126&gt;$O127,$O127,L126)</f>
        <v>927.14285714285722</v>
      </c>
      <c r="M127" s="46">
        <f t="shared" ref="M127" si="276">IF(M126&gt;$O127,$O127,M126)</f>
        <v>927.14285714285722</v>
      </c>
      <c r="N127" s="45">
        <f t="shared" ref="N127" si="277">IF(N126&gt;$O127,$O127,N126)</f>
        <v>927.14285714285722</v>
      </c>
      <c r="O127" s="185">
        <f>IF(P127="Pre",'cfs limit calculation'!$E$6,'cfs limit calculation'!$E$11)</f>
        <v>927.14285714285722</v>
      </c>
      <c r="P127" s="190" t="str">
        <f>+P122</f>
        <v>Post</v>
      </c>
    </row>
    <row r="128" spans="1:29" ht="15" customHeight="1" x14ac:dyDescent="0.25">
      <c r="A128" s="85"/>
      <c r="B128" s="8" t="s">
        <v>44</v>
      </c>
      <c r="C128" s="47">
        <f>+'Monthly Historical Flow-Gen'!B75</f>
        <v>397</v>
      </c>
      <c r="D128" s="46">
        <f>+'Monthly Historical Flow-Gen'!C75</f>
        <v>492</v>
      </c>
      <c r="E128" s="46">
        <f>+'Monthly Historical Flow-Gen'!D75</f>
        <v>760</v>
      </c>
      <c r="F128" s="46">
        <f>+'Monthly Historical Flow-Gen'!E75</f>
        <v>742</v>
      </c>
      <c r="G128" s="46">
        <f>+'Monthly Historical Flow-Gen'!F75</f>
        <v>616</v>
      </c>
      <c r="H128" s="46">
        <f>+'Monthly Historical Flow-Gen'!G75</f>
        <v>486</v>
      </c>
      <c r="I128" s="46">
        <f>+'Monthly Historical Flow-Gen'!H75</f>
        <v>104</v>
      </c>
      <c r="J128" s="46">
        <f>+'Monthly Historical Flow-Gen'!I75</f>
        <v>311</v>
      </c>
      <c r="K128" s="46">
        <f>+'Monthly Historical Flow-Gen'!J75</f>
        <v>673</v>
      </c>
      <c r="L128" s="46">
        <f>+'Monthly Historical Flow-Gen'!K75</f>
        <v>723</v>
      </c>
      <c r="M128" s="46">
        <f>+'Monthly Historical Flow-Gen'!L75</f>
        <v>724</v>
      </c>
      <c r="N128" s="45">
        <f>+'Monthly Historical Flow-Gen'!M75</f>
        <v>797</v>
      </c>
      <c r="O128" s="85"/>
      <c r="P128" s="189"/>
    </row>
    <row r="129" spans="1:29" ht="15" customHeight="1" x14ac:dyDescent="0.25">
      <c r="B129" s="22" t="s">
        <v>67</v>
      </c>
      <c r="C129" s="47">
        <f>IF($P127="Pre",IF('cfs limit calculation'!B$17&gt;Calculations!C128,Calculations!C128,'cfs limit calculation'!B$17),IF('cfs limit calculation'!B$19&gt;Calculations!C128,Calculations!C128,'cfs limit calculation'!B$19))</f>
        <v>397</v>
      </c>
      <c r="D129" s="46">
        <f>IF($P127="Pre",IF('cfs limit calculation'!C$17&gt;Calculations!D128,Calculations!D128,'cfs limit calculation'!C$17),IF('cfs limit calculation'!C$19&gt;Calculations!D128,Calculations!D128,'cfs limit calculation'!C$19))</f>
        <v>492</v>
      </c>
      <c r="E129" s="46">
        <f>IF($P127="Pre",IF('cfs limit calculation'!D$17&gt;Calculations!E128,Calculations!E128,'cfs limit calculation'!D$17),IF('cfs limit calculation'!D$19&gt;Calculations!E128,Calculations!E128,'cfs limit calculation'!D$19))</f>
        <v>572.88</v>
      </c>
      <c r="F129" s="46">
        <f>IF($P127="Pre",IF('cfs limit calculation'!E$17&gt;Calculations!F128,Calculations!F128,'cfs limit calculation'!E$17),IF('cfs limit calculation'!E$19&gt;Calculations!F128,Calculations!F128,'cfs limit calculation'!E$19))</f>
        <v>554.4</v>
      </c>
      <c r="G129" s="46">
        <f>IF($P127="Pre",IF('cfs limit calculation'!F$17&gt;Calculations!G128,Calculations!G128,'cfs limit calculation'!F$17),IF('cfs limit calculation'!F$19&gt;Calculations!G128,Calculations!G128,'cfs limit calculation'!F$19))</f>
        <v>572.88</v>
      </c>
      <c r="H129" s="46">
        <f>IF($P127="Pre",IF('cfs limit calculation'!G$17&gt;Calculations!H128,Calculations!H128,'cfs limit calculation'!G$17),IF('cfs limit calculation'!G$19&gt;Calculations!H128,Calculations!H128,'cfs limit calculation'!G$19))</f>
        <v>486</v>
      </c>
      <c r="I129" s="46">
        <f>IF($P127="Pre",IF('cfs limit calculation'!H$17&gt;Calculations!I128,Calculations!I128,'cfs limit calculation'!H$17),IF('cfs limit calculation'!H$19&gt;Calculations!I128,Calculations!I128,'cfs limit calculation'!H$19))</f>
        <v>104</v>
      </c>
      <c r="J129" s="46">
        <f>IF($P127="Pre",IF('cfs limit calculation'!I$17&gt;Calculations!J128,Calculations!J128,'cfs limit calculation'!I$17),IF('cfs limit calculation'!I$19&gt;Calculations!J128,Calculations!J128,'cfs limit calculation'!I$19))</f>
        <v>311</v>
      </c>
      <c r="K129" s="46">
        <f>IF($P127="Pre",IF('cfs limit calculation'!J$17&gt;Calculations!K128,Calculations!K128,'cfs limit calculation'!J$17),IF('cfs limit calculation'!J$19&gt;Calculations!K128,Calculations!K128,'cfs limit calculation'!J$19))</f>
        <v>554.4</v>
      </c>
      <c r="L129" s="46">
        <f>IF($P127="Pre",IF('cfs limit calculation'!K$17&gt;Calculations!L128,Calculations!L128,'cfs limit calculation'!K$17),IF('cfs limit calculation'!K$19&gt;Calculations!L128,Calculations!L128,'cfs limit calculation'!K$19))</f>
        <v>572.88</v>
      </c>
      <c r="M129" s="46">
        <f>IF($P127="Pre",IF('cfs limit calculation'!L$17&gt;Calculations!M128,Calculations!M128,'cfs limit calculation'!L$17),IF('cfs limit calculation'!L$19&gt;Calculations!M128,Calculations!M128,'cfs limit calculation'!L$19))</f>
        <v>554.4</v>
      </c>
      <c r="N129" s="45">
        <f>IF($P127="Pre",IF('cfs limit calculation'!M$17&gt;Calculations!N128,Calculations!N128,'cfs limit calculation'!M$17),IF('cfs limit calculation'!M$19&gt;Calculations!N128,Calculations!N128,'cfs limit calculation'!M$19))</f>
        <v>572.88</v>
      </c>
      <c r="O129" s="85"/>
      <c r="P129" s="189"/>
    </row>
    <row r="130" spans="1:29" ht="15" customHeight="1" thickBot="1" x14ac:dyDescent="0.3">
      <c r="A130" s="85"/>
      <c r="B130" s="50" t="s">
        <v>42</v>
      </c>
      <c r="C130" s="265">
        <f t="shared" ref="C130:N130" si="278">+C129/C127</f>
        <v>0.83376750309977032</v>
      </c>
      <c r="D130" s="266">
        <f t="shared" si="278"/>
        <v>0.65555686877043695</v>
      </c>
      <c r="E130" s="266">
        <f t="shared" si="278"/>
        <v>0.61789830508474575</v>
      </c>
      <c r="F130" s="266">
        <f t="shared" si="278"/>
        <v>0.59796610169491515</v>
      </c>
      <c r="G130" s="266">
        <f t="shared" si="278"/>
        <v>0.76850125569318528</v>
      </c>
      <c r="H130" s="266">
        <f t="shared" si="278"/>
        <v>0.80337601029969252</v>
      </c>
      <c r="I130" s="266">
        <f t="shared" si="278"/>
        <v>0.4391258893862347</v>
      </c>
      <c r="J130" s="266">
        <f t="shared" si="278"/>
        <v>0.34577166284483357</v>
      </c>
      <c r="K130" s="266">
        <f t="shared" si="278"/>
        <v>0.59796610169491515</v>
      </c>
      <c r="L130" s="266">
        <f t="shared" si="278"/>
        <v>0.61789830508474575</v>
      </c>
      <c r="M130" s="266">
        <f t="shared" si="278"/>
        <v>0.59796610169491515</v>
      </c>
      <c r="N130" s="267">
        <f t="shared" si="278"/>
        <v>0.61789830508474575</v>
      </c>
      <c r="O130" s="78"/>
      <c r="P130" s="191"/>
    </row>
    <row r="131" spans="1:29" ht="15" customHeight="1" x14ac:dyDescent="0.25">
      <c r="A131" s="86">
        <v>2012</v>
      </c>
      <c r="B131" s="58" t="s">
        <v>45</v>
      </c>
      <c r="C131" s="47">
        <f>+'Monthly Historical Flow-Gen'!B50</f>
        <v>945.5625</v>
      </c>
      <c r="D131" s="94">
        <f>+'Monthly Historical Flow-Gen'!C50</f>
        <v>494.95673076923077</v>
      </c>
      <c r="E131" s="94">
        <f>+'Monthly Historical Flow-Gen'!D50</f>
        <v>540.19471153846155</v>
      </c>
      <c r="F131" s="94">
        <f>+'Monthly Historical Flow-Gen'!E50</f>
        <v>505.60096153846149</v>
      </c>
      <c r="G131" s="94">
        <f>+'Monthly Historical Flow-Gen'!F50</f>
        <v>573.90144230769226</v>
      </c>
      <c r="H131" s="94">
        <f>+'Monthly Historical Flow-Gen'!G50</f>
        <v>432.86538461538458</v>
      </c>
      <c r="I131" s="94">
        <f>+'Monthly Historical Flow-Gen'!H50</f>
        <v>170.30769230769229</v>
      </c>
      <c r="J131" s="94">
        <f>+'Monthly Historical Flow-Gen'!I50</f>
        <v>241.26923076923075</v>
      </c>
      <c r="K131" s="94">
        <f>+'Monthly Historical Flow-Gen'!J50</f>
        <v>204.01442307692307</v>
      </c>
      <c r="L131" s="32">
        <f>+'Monthly Historical Flow-Gen'!K50</f>
        <v>411.57692307692304</v>
      </c>
      <c r="M131" s="32">
        <f>+'Monthly Historical Flow-Gen'!L50</f>
        <v>469.23317307692304</v>
      </c>
      <c r="N131" s="82">
        <f>+'Monthly Historical Flow-Gen'!M50</f>
        <v>623.57451923076917</v>
      </c>
      <c r="O131" s="85">
        <f>+A131</f>
        <v>2012</v>
      </c>
      <c r="P131" s="189"/>
    </row>
    <row r="132" spans="1:29" ht="15" customHeight="1" x14ac:dyDescent="0.25">
      <c r="A132" s="85"/>
      <c r="B132" s="48" t="s">
        <v>43</v>
      </c>
      <c r="C132" s="47">
        <f>IF(C131&gt;$O132,$O132,C131)</f>
        <v>927.14285714285722</v>
      </c>
      <c r="D132" s="46">
        <f t="shared" ref="D132" si="279">IF(D131&gt;$O132,$O132,D131)</f>
        <v>494.95673076923077</v>
      </c>
      <c r="E132" s="46">
        <f t="shared" ref="E132" si="280">IF(E131&gt;$O132,$O132,E131)</f>
        <v>540.19471153846155</v>
      </c>
      <c r="F132" s="46">
        <f t="shared" ref="F132" si="281">IF(F131&gt;$O132,$O132,F131)</f>
        <v>505.60096153846149</v>
      </c>
      <c r="G132" s="46">
        <f t="shared" ref="G132" si="282">IF(G131&gt;$O132,$O132,G131)</f>
        <v>573.90144230769226</v>
      </c>
      <c r="H132" s="46">
        <f t="shared" ref="H132" si="283">IF(H131&gt;$O132,$O132,H131)</f>
        <v>432.86538461538458</v>
      </c>
      <c r="I132" s="46">
        <f t="shared" ref="I132" si="284">IF(I131&gt;$O132,$O132,I131)</f>
        <v>170.30769230769229</v>
      </c>
      <c r="J132" s="46">
        <f t="shared" ref="J132" si="285">IF(J131&gt;$O132,$O132,J131)</f>
        <v>241.26923076923075</v>
      </c>
      <c r="K132" s="46">
        <f t="shared" ref="K132" si="286">IF(K131&gt;$O132,$O132,K131)</f>
        <v>204.01442307692307</v>
      </c>
      <c r="L132" s="46">
        <f t="shared" ref="L132" si="287">IF(L131&gt;$O132,$O132,L131)</f>
        <v>411.57692307692304</v>
      </c>
      <c r="M132" s="46">
        <f t="shared" ref="M132" si="288">IF(M131&gt;$O132,$O132,M131)</f>
        <v>469.23317307692304</v>
      </c>
      <c r="N132" s="45">
        <f t="shared" ref="N132" si="289">IF(N131&gt;$O132,$O132,N131)</f>
        <v>623.57451923076917</v>
      </c>
      <c r="O132" s="185">
        <f>IF(P132="Pre",'cfs limit calculation'!$E$6,'cfs limit calculation'!$E$11)</f>
        <v>927.14285714285722</v>
      </c>
      <c r="P132" s="190" t="str">
        <f>+P127</f>
        <v>Post</v>
      </c>
    </row>
    <row r="133" spans="1:29" ht="15" customHeight="1" x14ac:dyDescent="0.25">
      <c r="A133" s="85"/>
      <c r="B133" s="8" t="s">
        <v>44</v>
      </c>
      <c r="C133" s="47">
        <f>+'Monthly Historical Flow-Gen'!B76</f>
        <v>696</v>
      </c>
      <c r="D133" s="46">
        <f>+'Monthly Historical Flow-Gen'!C76</f>
        <v>514</v>
      </c>
      <c r="E133" s="46">
        <f>+'Monthly Historical Flow-Gen'!D76</f>
        <v>466</v>
      </c>
      <c r="F133" s="46">
        <f>+'Monthly Historical Flow-Gen'!E76</f>
        <v>258</v>
      </c>
      <c r="G133" s="46">
        <f>+'Monthly Historical Flow-Gen'!F76</f>
        <v>467</v>
      </c>
      <c r="H133" s="46">
        <f>+'Monthly Historical Flow-Gen'!G76</f>
        <v>302</v>
      </c>
      <c r="I133" s="46">
        <f>+'Monthly Historical Flow-Gen'!H76</f>
        <v>0</v>
      </c>
      <c r="J133" s="46">
        <f>+'Monthly Historical Flow-Gen'!I76</f>
        <v>56</v>
      </c>
      <c r="K133" s="46">
        <f>+'Monthly Historical Flow-Gen'!J76</f>
        <v>48</v>
      </c>
      <c r="L133" s="46">
        <f>+'Monthly Historical Flow-Gen'!K76</f>
        <v>190</v>
      </c>
      <c r="M133" s="46">
        <f>+'Monthly Historical Flow-Gen'!L76</f>
        <v>360</v>
      </c>
      <c r="N133" s="45">
        <f>+'Monthly Historical Flow-Gen'!M76</f>
        <v>435</v>
      </c>
      <c r="O133" s="85"/>
      <c r="P133" s="189"/>
    </row>
    <row r="134" spans="1:29" ht="15" customHeight="1" x14ac:dyDescent="0.25">
      <c r="B134" s="22" t="s">
        <v>67</v>
      </c>
      <c r="C134" s="47">
        <f>IF($P132="Pre",IF('cfs limit calculation'!B$17&gt;Calculations!C133,Calculations!C133,'cfs limit calculation'!B$17),IF('cfs limit calculation'!B$19&gt;Calculations!C133,Calculations!C133,'cfs limit calculation'!B$19))</f>
        <v>572.88</v>
      </c>
      <c r="D134" s="46">
        <f>IF($P132="Pre",IF('cfs limit calculation'!C$17&gt;Calculations!D133,Calculations!D133,'cfs limit calculation'!C$17),IF('cfs limit calculation'!C$19&gt;Calculations!D133,Calculations!D133,'cfs limit calculation'!C$19))</f>
        <v>514</v>
      </c>
      <c r="E134" s="46">
        <f>IF($P132="Pre",IF('cfs limit calculation'!D$17&gt;Calculations!E133,Calculations!E133,'cfs limit calculation'!D$17),IF('cfs limit calculation'!D$19&gt;Calculations!E133,Calculations!E133,'cfs limit calculation'!D$19))</f>
        <v>466</v>
      </c>
      <c r="F134" s="46">
        <f>IF($P132="Pre",IF('cfs limit calculation'!E$17&gt;Calculations!F133,Calculations!F133,'cfs limit calculation'!E$17),IF('cfs limit calculation'!E$19&gt;Calculations!F133,Calculations!F133,'cfs limit calculation'!E$19))</f>
        <v>258</v>
      </c>
      <c r="G134" s="46">
        <f>IF($P132="Pre",IF('cfs limit calculation'!F$17&gt;Calculations!G133,Calculations!G133,'cfs limit calculation'!F$17),IF('cfs limit calculation'!F$19&gt;Calculations!G133,Calculations!G133,'cfs limit calculation'!F$19))</f>
        <v>467</v>
      </c>
      <c r="H134" s="46">
        <f>IF($P132="Pre",IF('cfs limit calculation'!G$17&gt;Calculations!H133,Calculations!H133,'cfs limit calculation'!G$17),IF('cfs limit calculation'!G$19&gt;Calculations!H133,Calculations!H133,'cfs limit calculation'!G$19))</f>
        <v>302</v>
      </c>
      <c r="I134" s="46">
        <f>IF($P132="Pre",IF('cfs limit calculation'!H$17&gt;Calculations!I133,Calculations!I133,'cfs limit calculation'!H$17),IF('cfs limit calculation'!H$19&gt;Calculations!I133,Calculations!I133,'cfs limit calculation'!H$19))</f>
        <v>0</v>
      </c>
      <c r="J134" s="46">
        <f>IF($P132="Pre",IF('cfs limit calculation'!I$17&gt;Calculations!J133,Calculations!J133,'cfs limit calculation'!I$17),IF('cfs limit calculation'!I$19&gt;Calculations!J133,Calculations!J133,'cfs limit calculation'!I$19))</f>
        <v>56</v>
      </c>
      <c r="K134" s="46">
        <f>IF($P132="Pre",IF('cfs limit calculation'!J$17&gt;Calculations!K133,Calculations!K133,'cfs limit calculation'!J$17),IF('cfs limit calculation'!J$19&gt;Calculations!K133,Calculations!K133,'cfs limit calculation'!J$19))</f>
        <v>48</v>
      </c>
      <c r="L134" s="46">
        <f>IF($P132="Pre",IF('cfs limit calculation'!K$17&gt;Calculations!L133,Calculations!L133,'cfs limit calculation'!K$17),IF('cfs limit calculation'!K$19&gt;Calculations!L133,Calculations!L133,'cfs limit calculation'!K$19))</f>
        <v>190</v>
      </c>
      <c r="M134" s="46">
        <f>IF($P132="Pre",IF('cfs limit calculation'!L$17&gt;Calculations!M133,Calculations!M133,'cfs limit calculation'!L$17),IF('cfs limit calculation'!L$19&gt;Calculations!M133,Calculations!M133,'cfs limit calculation'!L$19))</f>
        <v>360</v>
      </c>
      <c r="N134" s="45">
        <f>IF($P132="Pre",IF('cfs limit calculation'!M$17&gt;Calculations!N133,Calculations!N133,'cfs limit calculation'!M$17),IF('cfs limit calculation'!M$19&gt;Calculations!N133,Calculations!N133,'cfs limit calculation'!M$19))</f>
        <v>435</v>
      </c>
      <c r="O134" s="85"/>
      <c r="P134" s="189"/>
    </row>
    <row r="135" spans="1:29" ht="15" customHeight="1" thickBot="1" x14ac:dyDescent="0.3">
      <c r="A135" s="44"/>
      <c r="B135" s="50" t="s">
        <v>42</v>
      </c>
      <c r="C135" s="265">
        <f t="shared" ref="C135:N135" si="290">+C134/C132</f>
        <v>0.61789830508474575</v>
      </c>
      <c r="D135" s="266">
        <f t="shared" si="290"/>
        <v>1.0384746141368224</v>
      </c>
      <c r="E135" s="266">
        <f t="shared" si="290"/>
        <v>0.86265191059135549</v>
      </c>
      <c r="F135" s="266">
        <f t="shared" si="290"/>
        <v>0.51028383968050217</v>
      </c>
      <c r="G135" s="266">
        <f t="shared" si="290"/>
        <v>0.81372857005231569</v>
      </c>
      <c r="H135" s="266">
        <f t="shared" si="290"/>
        <v>0.69767648496157098</v>
      </c>
      <c r="I135" s="266">
        <f t="shared" si="290"/>
        <v>0</v>
      </c>
      <c r="J135" s="266">
        <f t="shared" si="290"/>
        <v>0.23210585047026944</v>
      </c>
      <c r="K135" s="266">
        <f t="shared" si="290"/>
        <v>0.23527748320961472</v>
      </c>
      <c r="L135" s="266">
        <f t="shared" si="290"/>
        <v>0.46163909914961221</v>
      </c>
      <c r="M135" s="266">
        <f t="shared" si="290"/>
        <v>0.7672091843791784</v>
      </c>
      <c r="N135" s="267">
        <f t="shared" si="290"/>
        <v>0.69759104418924711</v>
      </c>
      <c r="O135" s="78"/>
      <c r="P135" s="191"/>
    </row>
    <row r="136" spans="1:29" ht="13.8" thickBot="1" x14ac:dyDescent="0.3"/>
    <row r="137" spans="1:29" ht="15" customHeight="1" thickBot="1" x14ac:dyDescent="0.3">
      <c r="A137" s="43" t="s">
        <v>63</v>
      </c>
      <c r="B137" s="43"/>
      <c r="C137" s="274">
        <f>AVERAGE(C30,C35,C40,C45,C50,C55,C60,C65,C70,C75,C80,C85,C90,C95,C100,C105,C110,C115,C120)</f>
        <v>0.63885087592734213</v>
      </c>
      <c r="D137" s="275">
        <f t="shared" ref="D137:N137" si="291">AVERAGE(D30,D35,D40,D45,D50,D55,D60,D65,D70,D75,D80,D85,D90,D95,D100,D105,D110,D115,D120)</f>
        <v>0.61923212676553419</v>
      </c>
      <c r="E137" s="275">
        <f t="shared" si="291"/>
        <v>0.62473987092677952</v>
      </c>
      <c r="F137" s="275">
        <f t="shared" si="291"/>
        <v>0.6139620408152543</v>
      </c>
      <c r="G137" s="275">
        <f t="shared" si="291"/>
        <v>0.69702072164189643</v>
      </c>
      <c r="H137" s="275">
        <f t="shared" si="291"/>
        <v>0.59913078219223781</v>
      </c>
      <c r="I137" s="275">
        <f t="shared" si="291"/>
        <v>0.45186163996080747</v>
      </c>
      <c r="J137" s="275">
        <f t="shared" si="291"/>
        <v>0.13257403144128171</v>
      </c>
      <c r="K137" s="275">
        <f t="shared" si="291"/>
        <v>5.5214868816487246E-2</v>
      </c>
      <c r="L137" s="275">
        <f t="shared" si="291"/>
        <v>0.18539013144223024</v>
      </c>
      <c r="M137" s="275">
        <f t="shared" si="291"/>
        <v>0.51511840633169093</v>
      </c>
      <c r="N137" s="276">
        <f t="shared" si="291"/>
        <v>0.47382508218399938</v>
      </c>
      <c r="O137" s="15"/>
      <c r="P137" s="64"/>
      <c r="Q137" s="5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 spans="1:29" ht="15" customHeight="1" x14ac:dyDescent="0.25">
      <c r="A138" s="33"/>
      <c r="O138" s="15"/>
      <c r="P138" s="64"/>
      <c r="Q138" s="5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 spans="1:29" ht="15" customHeight="1" x14ac:dyDescent="0.25">
      <c r="A139" s="33"/>
      <c r="O139" s="15"/>
      <c r="P139" s="64"/>
      <c r="Q139" s="5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 spans="1:29" ht="15" customHeight="1" thickBot="1" x14ac:dyDescent="0.3">
      <c r="A140" s="33"/>
      <c r="O140" s="15"/>
      <c r="P140" s="64"/>
      <c r="Q140" s="5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 spans="1:29" ht="15" customHeight="1" thickBot="1" x14ac:dyDescent="0.3">
      <c r="A141" s="40" t="s">
        <v>64</v>
      </c>
      <c r="B141" s="159"/>
      <c r="C141" s="274">
        <f t="shared" ref="C141:N141" si="292">AVERAGE(C125,C130,C135)</f>
        <v>0.68985470442308727</v>
      </c>
      <c r="D141" s="275">
        <f t="shared" si="292"/>
        <v>0.75237207622332358</v>
      </c>
      <c r="E141" s="275">
        <f t="shared" si="292"/>
        <v>0.69948284025361573</v>
      </c>
      <c r="F141" s="275">
        <f t="shared" si="292"/>
        <v>0.56873868102344416</v>
      </c>
      <c r="G141" s="275">
        <f t="shared" si="292"/>
        <v>0.79869903201718684</v>
      </c>
      <c r="H141" s="275">
        <f t="shared" si="292"/>
        <v>0.7238204327229022</v>
      </c>
      <c r="I141" s="275">
        <f t="shared" si="292"/>
        <v>0.14637529646207822</v>
      </c>
      <c r="J141" s="275">
        <f t="shared" si="292"/>
        <v>0.1978270893228555</v>
      </c>
      <c r="K141" s="275">
        <f t="shared" si="292"/>
        <v>0.27774786163484327</v>
      </c>
      <c r="L141" s="275">
        <f t="shared" si="292"/>
        <v>0.56773343311697633</v>
      </c>
      <c r="M141" s="275">
        <f t="shared" si="292"/>
        <v>0.73036013605681871</v>
      </c>
      <c r="N141" s="276">
        <f t="shared" si="292"/>
        <v>0.67452183950845745</v>
      </c>
      <c r="P141" s="33"/>
    </row>
    <row r="142" spans="1:29" ht="15" customHeight="1" x14ac:dyDescent="0.25">
      <c r="A142" s="33"/>
      <c r="P142" s="33"/>
    </row>
    <row r="143" spans="1:29" ht="15" customHeight="1" x14ac:dyDescent="0.25">
      <c r="A143" s="33"/>
      <c r="P143" s="33"/>
    </row>
    <row r="144" spans="1:29" ht="13.8" thickBot="1" x14ac:dyDescent="0.3"/>
    <row r="145" spans="1:17" ht="15" customHeight="1" thickBot="1" x14ac:dyDescent="0.3">
      <c r="B145" s="40" t="s">
        <v>41</v>
      </c>
      <c r="C145" s="39" t="str">
        <f t="shared" ref="C145:N145" si="293">+C25</f>
        <v>January</v>
      </c>
      <c r="D145" s="39" t="str">
        <f t="shared" si="293"/>
        <v>February</v>
      </c>
      <c r="E145" s="39" t="str">
        <f t="shared" si="293"/>
        <v>March</v>
      </c>
      <c r="F145" s="39" t="str">
        <f t="shared" si="293"/>
        <v>April</v>
      </c>
      <c r="G145" s="39" t="str">
        <f t="shared" si="293"/>
        <v>May</v>
      </c>
      <c r="H145" s="39" t="str">
        <f t="shared" si="293"/>
        <v>June</v>
      </c>
      <c r="I145" s="39" t="str">
        <f t="shared" si="293"/>
        <v>July</v>
      </c>
      <c r="J145" s="39" t="str">
        <f t="shared" si="293"/>
        <v>August</v>
      </c>
      <c r="K145" s="39" t="str">
        <f t="shared" si="293"/>
        <v>September</v>
      </c>
      <c r="L145" s="39" t="str">
        <f t="shared" si="293"/>
        <v>October</v>
      </c>
      <c r="M145" s="39" t="str">
        <f t="shared" si="293"/>
        <v>November</v>
      </c>
      <c r="N145" s="39" t="str">
        <f t="shared" si="293"/>
        <v>December</v>
      </c>
      <c r="O145" s="37" t="s">
        <v>26</v>
      </c>
      <c r="P145" s="22"/>
      <c r="Q145" s="49"/>
    </row>
    <row r="146" spans="1:17" ht="15" customHeight="1" x14ac:dyDescent="0.25">
      <c r="B146" s="179" t="s">
        <v>65</v>
      </c>
      <c r="C146" s="104">
        <f>+'Average Historical Flow'!B6</f>
        <v>965.37931599650335</v>
      </c>
      <c r="D146" s="105">
        <f>+'Average Historical Flow'!C6</f>
        <v>950.21935096153834</v>
      </c>
      <c r="E146" s="105">
        <f>+'Average Historical Flow'!D6</f>
        <v>1389.164849213287</v>
      </c>
      <c r="F146" s="105">
        <f>+'Average Historical Flow'!E6</f>
        <v>1297.8220279720279</v>
      </c>
      <c r="G146" s="105">
        <f>+'Average Historical Flow'!F6</f>
        <v>781.56070804195804</v>
      </c>
      <c r="H146" s="105">
        <f>+'Average Historical Flow'!G6</f>
        <v>608.38633085664333</v>
      </c>
      <c r="I146" s="105">
        <f>+'Average Historical Flow'!H6</f>
        <v>307.37232298951045</v>
      </c>
      <c r="J146" s="105">
        <f>+'Average Historical Flow'!I6</f>
        <v>268.61361451048958</v>
      </c>
      <c r="K146" s="105">
        <f>+'Average Historical Flow'!J6</f>
        <v>293.34532342657343</v>
      </c>
      <c r="L146" s="105">
        <f>+'Average Historical Flow'!K6</f>
        <v>527.82885708041965</v>
      </c>
      <c r="M146" s="105">
        <f>+'Average Historical Flow'!L6</f>
        <v>646.82248688811171</v>
      </c>
      <c r="N146" s="106">
        <f>+'Average Historical Flow'!M6</f>
        <v>963.84315996503494</v>
      </c>
      <c r="O146" s="107">
        <f>AVERAGE(C146:N146)</f>
        <v>750.0298623251748</v>
      </c>
      <c r="P146" s="35"/>
      <c r="Q146" s="49"/>
    </row>
    <row r="147" spans="1:17" ht="15" customHeight="1" thickBot="1" x14ac:dyDescent="0.3">
      <c r="B147" s="174" t="s">
        <v>35</v>
      </c>
      <c r="C147" s="175">
        <f>IF(C146&gt;'cfs limit calculation'!$E$6,'cfs limit calculation'!$E$6,Calculations!C146)</f>
        <v>927.14285714285722</v>
      </c>
      <c r="D147" s="176">
        <f>IF(D146&gt;'cfs limit calculation'!$E$6,'cfs limit calculation'!$E$6,Calculations!D146)</f>
        <v>927.14285714285722</v>
      </c>
      <c r="E147" s="176">
        <f>IF(E146&gt;'cfs limit calculation'!$E$6,'cfs limit calculation'!$E$6,Calculations!E146)</f>
        <v>927.14285714285722</v>
      </c>
      <c r="F147" s="176">
        <f>IF(F146&gt;'cfs limit calculation'!$E$6,'cfs limit calculation'!$E$6,Calculations!F146)</f>
        <v>927.14285714285722</v>
      </c>
      <c r="G147" s="176">
        <f>IF(G146&gt;'cfs limit calculation'!$E$6,'cfs limit calculation'!$E$6,Calculations!G146)</f>
        <v>781.56070804195804</v>
      </c>
      <c r="H147" s="176">
        <f>IF(H146&gt;'cfs limit calculation'!$E$6,'cfs limit calculation'!$E$6,Calculations!H146)</f>
        <v>608.38633085664333</v>
      </c>
      <c r="I147" s="176">
        <f>IF(I146&gt;'cfs limit calculation'!$E$6,'cfs limit calculation'!$E$6,Calculations!I146)</f>
        <v>307.37232298951045</v>
      </c>
      <c r="J147" s="176">
        <f>IF(J146&gt;'cfs limit calculation'!$E$6,'cfs limit calculation'!$E$6,Calculations!J146)</f>
        <v>268.61361451048958</v>
      </c>
      <c r="K147" s="176">
        <f>IF(K146&gt;'cfs limit calculation'!$E$6,'cfs limit calculation'!$E$6,Calculations!K146)</f>
        <v>293.34532342657343</v>
      </c>
      <c r="L147" s="176">
        <f>IF(L146&gt;'cfs limit calculation'!$E$6,'cfs limit calculation'!$E$6,Calculations!L146)</f>
        <v>527.82885708041965</v>
      </c>
      <c r="M147" s="176">
        <f>IF(M146&gt;'cfs limit calculation'!$E$6,'cfs limit calculation'!$E$6,Calculations!M146)</f>
        <v>646.82248688811171</v>
      </c>
      <c r="N147" s="177">
        <f>IF(N146&gt;'cfs limit calculation'!$E$6,'cfs limit calculation'!$E$6,Calculations!N146)</f>
        <v>927.14285714285722</v>
      </c>
      <c r="O147" s="178">
        <f>AVERAGE(C147:N147)</f>
        <v>672.47032745899935</v>
      </c>
      <c r="P147" s="34"/>
      <c r="Q147" s="49"/>
    </row>
    <row r="148" spans="1:17" ht="15" customHeight="1" x14ac:dyDescent="0.25">
      <c r="B148" s="179" t="s">
        <v>96</v>
      </c>
      <c r="C148" s="277">
        <f t="shared" ref="C148:N148" si="294">+C22</f>
        <v>0.61789830508474575</v>
      </c>
      <c r="D148" s="278">
        <f t="shared" si="294"/>
        <v>0.60977615129614604</v>
      </c>
      <c r="E148" s="278">
        <f t="shared" si="294"/>
        <v>0.61789830508474575</v>
      </c>
      <c r="F148" s="278">
        <f t="shared" si="294"/>
        <v>0.62232391463487036</v>
      </c>
      <c r="G148" s="278">
        <f t="shared" si="294"/>
        <v>0.70288027694936339</v>
      </c>
      <c r="H148" s="278">
        <f t="shared" si="294"/>
        <v>0.66943058528068244</v>
      </c>
      <c r="I148" s="278">
        <f t="shared" si="294"/>
        <v>0.49885719085575858</v>
      </c>
      <c r="J148" s="278">
        <f t="shared" si="294"/>
        <v>0.14928538975623856</v>
      </c>
      <c r="K148" s="278">
        <f t="shared" si="294"/>
        <v>3.0862725522053814E-3</v>
      </c>
      <c r="L148" s="278">
        <f t="shared" si="294"/>
        <v>0.12150843250457471</v>
      </c>
      <c r="M148" s="278">
        <f t="shared" si="294"/>
        <v>0.52339156168995393</v>
      </c>
      <c r="N148" s="279">
        <f t="shared" si="294"/>
        <v>0.46124022008611004</v>
      </c>
      <c r="O148" s="280">
        <f>AVERAGE(C148:N148)</f>
        <v>0.46646471714794963</v>
      </c>
      <c r="P148" s="248">
        <f>+(O157-O149)/O157</f>
        <v>0.17174255965514837</v>
      </c>
      <c r="Q148" s="238" t="s">
        <v>72</v>
      </c>
    </row>
    <row r="149" spans="1:17" ht="15" customHeight="1" thickBot="1" x14ac:dyDescent="0.3">
      <c r="B149" s="180" t="s">
        <v>97</v>
      </c>
      <c r="C149" s="181">
        <f t="shared" ref="C149:N149" si="295">+C148*C147</f>
        <v>572.88</v>
      </c>
      <c r="D149" s="182">
        <f t="shared" si="295"/>
        <v>565.34960313028398</v>
      </c>
      <c r="E149" s="182">
        <f t="shared" si="295"/>
        <v>572.88</v>
      </c>
      <c r="F149" s="182">
        <f t="shared" si="295"/>
        <v>576.98317228290125</v>
      </c>
      <c r="G149" s="182">
        <f t="shared" si="295"/>
        <v>549.343606921272</v>
      </c>
      <c r="H149" s="182">
        <f t="shared" si="295"/>
        <v>407.27241754212963</v>
      </c>
      <c r="I149" s="182">
        <f t="shared" si="295"/>
        <v>153.3348935933561</v>
      </c>
      <c r="J149" s="182">
        <f t="shared" si="295"/>
        <v>40.100088136030458</v>
      </c>
      <c r="K149" s="182">
        <f t="shared" si="295"/>
        <v>0.90534362000924384</v>
      </c>
      <c r="L149" s="182">
        <f t="shared" si="295"/>
        <v>64.13565705452298</v>
      </c>
      <c r="M149" s="182">
        <f t="shared" si="295"/>
        <v>338.54143154854853</v>
      </c>
      <c r="N149" s="183">
        <f t="shared" si="295"/>
        <v>427.63557547983635</v>
      </c>
      <c r="O149" s="237">
        <f>SUM(C149:N149)</f>
        <v>4269.3617893088904</v>
      </c>
      <c r="P149" s="249">
        <f>1-P148</f>
        <v>0.8282574403448516</v>
      </c>
      <c r="Q149" s="239" t="s">
        <v>73</v>
      </c>
    </row>
    <row r="150" spans="1:17" ht="15" customHeight="1" x14ac:dyDescent="0.25">
      <c r="B150" s="250" t="s">
        <v>98</v>
      </c>
      <c r="C150" s="281">
        <f t="shared" ref="C150:N150" si="296">+C137</f>
        <v>0.63885087592734213</v>
      </c>
      <c r="D150" s="282">
        <f t="shared" si="296"/>
        <v>0.61923212676553419</v>
      </c>
      <c r="E150" s="282">
        <f t="shared" si="296"/>
        <v>0.62473987092677952</v>
      </c>
      <c r="F150" s="282">
        <f t="shared" si="296"/>
        <v>0.6139620408152543</v>
      </c>
      <c r="G150" s="282">
        <f t="shared" si="296"/>
        <v>0.69702072164189643</v>
      </c>
      <c r="H150" s="282">
        <f t="shared" si="296"/>
        <v>0.59913078219223781</v>
      </c>
      <c r="I150" s="282">
        <f t="shared" si="296"/>
        <v>0.45186163996080747</v>
      </c>
      <c r="J150" s="282">
        <f t="shared" si="296"/>
        <v>0.13257403144128171</v>
      </c>
      <c r="K150" s="282">
        <f t="shared" si="296"/>
        <v>5.5214868816487246E-2</v>
      </c>
      <c r="L150" s="282">
        <f t="shared" si="296"/>
        <v>0.18539013144223024</v>
      </c>
      <c r="M150" s="282">
        <f t="shared" si="296"/>
        <v>0.51511840633169093</v>
      </c>
      <c r="N150" s="283">
        <f t="shared" si="296"/>
        <v>0.47382508218399938</v>
      </c>
      <c r="O150" s="284">
        <f>AVERAGE(C150:N150)</f>
        <v>0.46724338153712847</v>
      </c>
      <c r="P150" s="30"/>
      <c r="Q150" s="49"/>
    </row>
    <row r="151" spans="1:17" ht="15" customHeight="1" thickBot="1" x14ac:dyDescent="0.3">
      <c r="B151" s="112" t="s">
        <v>99</v>
      </c>
      <c r="C151" s="76">
        <f t="shared" ref="C151:N151" si="297">+C150*C147</f>
        <v>592.30602639549295</v>
      </c>
      <c r="D151" s="28">
        <f t="shared" si="297"/>
        <v>574.11664324404535</v>
      </c>
      <c r="E151" s="28">
        <f t="shared" si="297"/>
        <v>579.22310890211418</v>
      </c>
      <c r="F151" s="28">
        <f t="shared" si="297"/>
        <v>569.23052069871437</v>
      </c>
      <c r="G151" s="28">
        <f t="shared" si="297"/>
        <v>544.76400872635713</v>
      </c>
      <c r="H151" s="28">
        <f t="shared" si="297"/>
        <v>364.50297828120631</v>
      </c>
      <c r="I151" s="28">
        <f t="shared" si="297"/>
        <v>138.88976194460321</v>
      </c>
      <c r="J151" s="28">
        <f t="shared" si="297"/>
        <v>35.61118977566997</v>
      </c>
      <c r="K151" s="28">
        <f t="shared" si="297"/>
        <v>16.197023550928275</v>
      </c>
      <c r="L151" s="28">
        <f t="shared" si="297"/>
        <v>97.854261193141156</v>
      </c>
      <c r="M151" s="28">
        <f t="shared" si="297"/>
        <v>333.19016862530515</v>
      </c>
      <c r="N151" s="27">
        <f t="shared" si="297"/>
        <v>439.3035404820223</v>
      </c>
      <c r="O151" s="26">
        <f>SUM(C151:N151)</f>
        <v>4285.1892318196005</v>
      </c>
      <c r="P151" s="29"/>
      <c r="Q151" s="49"/>
    </row>
    <row r="152" spans="1:17" ht="15" customHeight="1" thickBot="1" x14ac:dyDescent="0.3">
      <c r="A152" s="128"/>
      <c r="B152" s="113"/>
      <c r="C152" s="65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3"/>
      <c r="P152" s="25"/>
      <c r="Q152" s="49"/>
    </row>
    <row r="153" spans="1:17" ht="15" customHeight="1" thickBot="1" x14ac:dyDescent="0.3">
      <c r="A153" s="70"/>
      <c r="B153" s="40" t="s">
        <v>36</v>
      </c>
      <c r="C153" s="39" t="str">
        <f t="shared" ref="C153:O153" si="298">+C145</f>
        <v>January</v>
      </c>
      <c r="D153" s="38" t="str">
        <f t="shared" si="298"/>
        <v>February</v>
      </c>
      <c r="E153" s="38" t="str">
        <f t="shared" si="298"/>
        <v>March</v>
      </c>
      <c r="F153" s="38" t="str">
        <f t="shared" si="298"/>
        <v>April</v>
      </c>
      <c r="G153" s="38" t="str">
        <f t="shared" si="298"/>
        <v>May</v>
      </c>
      <c r="H153" s="38" t="str">
        <f t="shared" si="298"/>
        <v>June</v>
      </c>
      <c r="I153" s="38" t="str">
        <f t="shared" si="298"/>
        <v>July</v>
      </c>
      <c r="J153" s="38" t="str">
        <f t="shared" si="298"/>
        <v>August</v>
      </c>
      <c r="K153" s="38" t="str">
        <f t="shared" si="298"/>
        <v>September</v>
      </c>
      <c r="L153" s="38" t="str">
        <f t="shared" si="298"/>
        <v>October</v>
      </c>
      <c r="M153" s="38" t="str">
        <f t="shared" si="298"/>
        <v>November</v>
      </c>
      <c r="N153" s="59" t="str">
        <f t="shared" si="298"/>
        <v>December</v>
      </c>
      <c r="O153" s="161" t="str">
        <f t="shared" si="298"/>
        <v>Annual</v>
      </c>
      <c r="P153" s="22"/>
      <c r="Q153" s="49"/>
    </row>
    <row r="154" spans="1:17" ht="15" customHeight="1" thickBot="1" x14ac:dyDescent="0.3">
      <c r="A154" s="70"/>
      <c r="B154" s="160" t="s">
        <v>65</v>
      </c>
      <c r="C154" s="162">
        <f t="shared" ref="C154:O154" si="299">+C146</f>
        <v>965.37931599650335</v>
      </c>
      <c r="D154" s="163">
        <f t="shared" si="299"/>
        <v>950.21935096153834</v>
      </c>
      <c r="E154" s="163">
        <f t="shared" si="299"/>
        <v>1389.164849213287</v>
      </c>
      <c r="F154" s="163">
        <f t="shared" si="299"/>
        <v>1297.8220279720279</v>
      </c>
      <c r="G154" s="163">
        <f t="shared" si="299"/>
        <v>781.56070804195804</v>
      </c>
      <c r="H154" s="163">
        <f t="shared" si="299"/>
        <v>608.38633085664333</v>
      </c>
      <c r="I154" s="163">
        <f t="shared" si="299"/>
        <v>307.37232298951045</v>
      </c>
      <c r="J154" s="163">
        <f t="shared" si="299"/>
        <v>268.61361451048958</v>
      </c>
      <c r="K154" s="163">
        <f t="shared" si="299"/>
        <v>293.34532342657343</v>
      </c>
      <c r="L154" s="163">
        <f t="shared" si="299"/>
        <v>527.82885708041965</v>
      </c>
      <c r="M154" s="163">
        <f t="shared" si="299"/>
        <v>646.82248688811171</v>
      </c>
      <c r="N154" s="164">
        <f t="shared" si="299"/>
        <v>963.84315996503494</v>
      </c>
      <c r="O154" s="165">
        <f t="shared" si="299"/>
        <v>750.0298623251748</v>
      </c>
      <c r="P154" s="21"/>
      <c r="Q154" s="49"/>
    </row>
    <row r="155" spans="1:17" ht="15" customHeight="1" x14ac:dyDescent="0.25">
      <c r="A155" s="70"/>
      <c r="B155" s="172" t="s">
        <v>35</v>
      </c>
      <c r="C155" s="79">
        <f>IF(C154&gt;'cfs limit calculation'!$E$11,'cfs limit calculation'!$E$11,Calculations!C154)</f>
        <v>927.14285714285722</v>
      </c>
      <c r="D155" s="80">
        <f>IF(D154&gt;'cfs limit calculation'!$E$11,'cfs limit calculation'!$E$11,Calculations!D154)</f>
        <v>927.14285714285722</v>
      </c>
      <c r="E155" s="80">
        <f>IF(E154&gt;'cfs limit calculation'!$E$11,'cfs limit calculation'!$E$11,Calculations!E154)</f>
        <v>927.14285714285722</v>
      </c>
      <c r="F155" s="80">
        <f>IF(F154&gt;'cfs limit calculation'!$E$11,'cfs limit calculation'!$E$11,Calculations!F154)</f>
        <v>927.14285714285722</v>
      </c>
      <c r="G155" s="80">
        <f>IF(G154&gt;'cfs limit calculation'!$E$11,'cfs limit calculation'!$E$11,Calculations!G154)</f>
        <v>781.56070804195804</v>
      </c>
      <c r="H155" s="80">
        <f>IF(H154&gt;'cfs limit calculation'!$E$11,'cfs limit calculation'!$E$11,Calculations!H154)</f>
        <v>608.38633085664333</v>
      </c>
      <c r="I155" s="80">
        <f>IF(I154&gt;'cfs limit calculation'!$E$11,'cfs limit calculation'!$E$11,Calculations!I154)</f>
        <v>307.37232298951045</v>
      </c>
      <c r="J155" s="80">
        <f>IF(J154&gt;'cfs limit calculation'!$E$11,'cfs limit calculation'!$E$11,Calculations!J154)</f>
        <v>268.61361451048958</v>
      </c>
      <c r="K155" s="80">
        <f>IF(K154&gt;'cfs limit calculation'!$E$11,'cfs limit calculation'!$E$11,Calculations!K154)</f>
        <v>293.34532342657343</v>
      </c>
      <c r="L155" s="80">
        <f>IF(L154&gt;'cfs limit calculation'!$E$11,'cfs limit calculation'!$E$11,Calculations!L154)</f>
        <v>527.82885708041965</v>
      </c>
      <c r="M155" s="80">
        <f>IF(M154&gt;'cfs limit calculation'!$E$11,'cfs limit calculation'!$E$11,Calculations!M154)</f>
        <v>646.82248688811171</v>
      </c>
      <c r="N155" s="81">
        <f>IF(N154&gt;'cfs limit calculation'!$E$11,'cfs limit calculation'!$E$11,Calculations!N154)</f>
        <v>927.14285714285722</v>
      </c>
      <c r="O155" s="170">
        <f>AVERAGE(C155:N155)</f>
        <v>672.47032745899935</v>
      </c>
      <c r="P155" s="20"/>
      <c r="Q155" s="49"/>
    </row>
    <row r="156" spans="1:17" ht="15" customHeight="1" thickBot="1" x14ac:dyDescent="0.3">
      <c r="A156" s="70"/>
      <c r="B156" s="173" t="s">
        <v>34</v>
      </c>
      <c r="C156" s="285">
        <f t="shared" ref="C156:N156" si="300">C141</f>
        <v>0.68985470442308727</v>
      </c>
      <c r="D156" s="286">
        <f t="shared" si="300"/>
        <v>0.75237207622332358</v>
      </c>
      <c r="E156" s="286">
        <f t="shared" si="300"/>
        <v>0.69948284025361573</v>
      </c>
      <c r="F156" s="286">
        <f t="shared" si="300"/>
        <v>0.56873868102344416</v>
      </c>
      <c r="G156" s="286">
        <f t="shared" si="300"/>
        <v>0.79869903201718684</v>
      </c>
      <c r="H156" s="286">
        <f t="shared" si="300"/>
        <v>0.7238204327229022</v>
      </c>
      <c r="I156" s="286">
        <f t="shared" si="300"/>
        <v>0.14637529646207822</v>
      </c>
      <c r="J156" s="286">
        <f t="shared" si="300"/>
        <v>0.1978270893228555</v>
      </c>
      <c r="K156" s="286">
        <f t="shared" si="300"/>
        <v>0.27774786163484327</v>
      </c>
      <c r="L156" s="286">
        <f t="shared" si="300"/>
        <v>0.56773343311697633</v>
      </c>
      <c r="M156" s="286">
        <f t="shared" si="300"/>
        <v>0.73036013605681871</v>
      </c>
      <c r="N156" s="287">
        <f t="shared" si="300"/>
        <v>0.67452183950845745</v>
      </c>
      <c r="O156" s="288">
        <f>AVERAGE(C156:N156)</f>
        <v>0.56896111856379905</v>
      </c>
      <c r="P156" s="20"/>
    </row>
    <row r="157" spans="1:17" ht="15" customHeight="1" thickBot="1" x14ac:dyDescent="0.3">
      <c r="B157" s="171" t="s">
        <v>33</v>
      </c>
      <c r="C157" s="166">
        <f t="shared" ref="C157:N157" si="301">+C156*C155</f>
        <v>639.59386167226239</v>
      </c>
      <c r="D157" s="167">
        <f t="shared" si="301"/>
        <v>697.55639638419575</v>
      </c>
      <c r="E157" s="167">
        <f t="shared" si="301"/>
        <v>648.52051903513802</v>
      </c>
      <c r="F157" s="167">
        <f t="shared" si="301"/>
        <v>527.3020056917361</v>
      </c>
      <c r="G157" s="167">
        <f t="shared" si="301"/>
        <v>624.23178097577909</v>
      </c>
      <c r="H157" s="167">
        <f t="shared" si="301"/>
        <v>440.36245726335432</v>
      </c>
      <c r="I157" s="167">
        <f t="shared" si="301"/>
        <v>44.991714901827251</v>
      </c>
      <c r="J157" s="167">
        <f t="shared" si="301"/>
        <v>53.139049511101696</v>
      </c>
      <c r="K157" s="167">
        <f t="shared" si="301"/>
        <v>81.476036302312266</v>
      </c>
      <c r="L157" s="167">
        <f t="shared" si="301"/>
        <v>299.66608912847647</v>
      </c>
      <c r="M157" s="167">
        <f t="shared" si="301"/>
        <v>472.41335952821112</v>
      </c>
      <c r="N157" s="168">
        <f t="shared" si="301"/>
        <v>625.37810548712707</v>
      </c>
      <c r="O157" s="169">
        <f>SUM(C157:N157)</f>
        <v>5154.6313758815222</v>
      </c>
      <c r="P157" s="20"/>
    </row>
    <row r="158" spans="1:17" ht="15" customHeight="1" thickBot="1" x14ac:dyDescent="0.3">
      <c r="B158" s="23"/>
      <c r="C158" s="65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3"/>
      <c r="P158" s="18"/>
    </row>
    <row r="159" spans="1:17" ht="15" customHeight="1" x14ac:dyDescent="0.25">
      <c r="B159" s="255" t="s">
        <v>101</v>
      </c>
      <c r="C159" s="256">
        <f t="shared" ref="C159:O159" si="302">+C157/C149-1</f>
        <v>0.11645346612250806</v>
      </c>
      <c r="D159" s="257">
        <f t="shared" si="302"/>
        <v>0.23384962600468095</v>
      </c>
      <c r="E159" s="257">
        <f t="shared" si="302"/>
        <v>0.13203553804485768</v>
      </c>
      <c r="F159" s="257">
        <f t="shared" si="302"/>
        <v>-8.6105052933512449E-2</v>
      </c>
      <c r="G159" s="257">
        <f t="shared" si="302"/>
        <v>0.13632301006324354</v>
      </c>
      <c r="H159" s="257">
        <f t="shared" si="302"/>
        <v>8.1247927175922108E-2</v>
      </c>
      <c r="I159" s="257">
        <f t="shared" si="302"/>
        <v>-0.70657875811917137</v>
      </c>
      <c r="J159" s="257">
        <f t="shared" si="302"/>
        <v>0.32516041687588104</v>
      </c>
      <c r="K159" s="257">
        <f t="shared" si="302"/>
        <v>88.994599289803759</v>
      </c>
      <c r="L159" s="257">
        <f t="shared" si="302"/>
        <v>3.6723788745740054</v>
      </c>
      <c r="M159" s="257">
        <f t="shared" si="302"/>
        <v>0.39543735420302517</v>
      </c>
      <c r="N159" s="258">
        <f t="shared" si="302"/>
        <v>0.46240897938720393</v>
      </c>
      <c r="O159" s="259">
        <f t="shared" si="302"/>
        <v>0.20735408013194778</v>
      </c>
      <c r="P159" s="18"/>
    </row>
    <row r="160" spans="1:17" ht="15" customHeight="1" thickBot="1" x14ac:dyDescent="0.3">
      <c r="B160" s="171" t="s">
        <v>100</v>
      </c>
      <c r="C160" s="251">
        <f t="shared" ref="C160:N160" si="303">+C157/C151-1</f>
        <v>7.9836829560120837E-2</v>
      </c>
      <c r="D160" s="252">
        <f t="shared" si="303"/>
        <v>0.21500814267054547</v>
      </c>
      <c r="E160" s="252">
        <f t="shared" si="303"/>
        <v>0.11963854526518003</v>
      </c>
      <c r="F160" s="252">
        <f t="shared" si="303"/>
        <v>-7.3658234199234784E-2</v>
      </c>
      <c r="G160" s="252">
        <f t="shared" si="303"/>
        <v>0.14587559195625888</v>
      </c>
      <c r="H160" s="252">
        <f t="shared" si="303"/>
        <v>0.20811758340044073</v>
      </c>
      <c r="I160" s="252">
        <f t="shared" si="303"/>
        <v>-0.67606168898343721</v>
      </c>
      <c r="J160" s="252">
        <f t="shared" si="303"/>
        <v>0.49220090218403723</v>
      </c>
      <c r="K160" s="252">
        <f t="shared" si="303"/>
        <v>4.030309182803081</v>
      </c>
      <c r="L160" s="252">
        <f t="shared" si="303"/>
        <v>2.0623713824480929</v>
      </c>
      <c r="M160" s="252">
        <f t="shared" si="303"/>
        <v>0.41784903641461235</v>
      </c>
      <c r="N160" s="253">
        <f t="shared" si="303"/>
        <v>0.42356718728225129</v>
      </c>
      <c r="O160" s="254">
        <f>+O157/O151-1</f>
        <v>0.20289469076555444</v>
      </c>
    </row>
    <row r="161" spans="13:17" ht="15" customHeight="1" thickBot="1" x14ac:dyDescent="0.3">
      <c r="M161" s="109" t="s">
        <v>50</v>
      </c>
      <c r="N161" s="108"/>
      <c r="O161" s="242">
        <f>+(O157-O151)/O157</f>
        <v>0.16867203116211846</v>
      </c>
    </row>
    <row r="162" spans="13:17" ht="15" customHeight="1" thickBot="1" x14ac:dyDescent="0.3">
      <c r="M162" s="110" t="s">
        <v>51</v>
      </c>
      <c r="N162" s="69"/>
      <c r="O162" s="243">
        <f>1-O161</f>
        <v>0.83132796883788151</v>
      </c>
    </row>
    <row r="163" spans="13:17" ht="15" customHeight="1" x14ac:dyDescent="0.25">
      <c r="P163" s="8"/>
    </row>
    <row r="164" spans="13:17" ht="15" customHeight="1" x14ac:dyDescent="0.25">
      <c r="P164" s="8"/>
    </row>
    <row r="165" spans="13:17" ht="15" customHeight="1" x14ac:dyDescent="0.25">
      <c r="P165" s="8"/>
    </row>
    <row r="166" spans="13:17" x14ac:dyDescent="0.25">
      <c r="P166" s="8"/>
    </row>
    <row r="167" spans="13:17" x14ac:dyDescent="0.25">
      <c r="P167" s="8"/>
    </row>
    <row r="168" spans="13:17" x14ac:dyDescent="0.25">
      <c r="P168" s="8"/>
    </row>
    <row r="169" spans="13:17" x14ac:dyDescent="0.25">
      <c r="P169" s="8"/>
      <c r="Q169" s="16"/>
    </row>
    <row r="170" spans="13:17" x14ac:dyDescent="0.25">
      <c r="P170" s="8"/>
      <c r="Q170" s="16"/>
    </row>
    <row r="171" spans="13:17" x14ac:dyDescent="0.25">
      <c r="P171" s="8"/>
      <c r="Q171" s="16"/>
    </row>
    <row r="172" spans="13:17" x14ac:dyDescent="0.25">
      <c r="P172" s="8"/>
      <c r="Q172" s="19"/>
    </row>
    <row r="173" spans="13:17" x14ac:dyDescent="0.25">
      <c r="P173" s="8"/>
      <c r="Q173" s="19"/>
    </row>
    <row r="174" spans="13:17" x14ac:dyDescent="0.25">
      <c r="P174" s="8"/>
    </row>
  </sheetData>
  <pageMargins left="0.4" right="0.34" top="1.29" bottom="0.75" header="0.5" footer="0.5"/>
  <pageSetup paperSize="17" scale="45" orientation="portrait" r:id="rId1"/>
  <headerFooter alignWithMargins="0">
    <oddHeader>&amp;L&amp;"Arial,Bold Italic"&amp;11Table 2
Final Analysis
&amp;C&amp;"Arial,Bold Italic"&amp;11Pautucket Hydro
Generation Analysis&amp;R&amp;"Arial,Bold Italic"&amp;11The Essex Partnership, LLC
May 9, 2007</oddHeader>
  </headerFooter>
  <rowBreaks count="2" manualBreakCount="2">
    <brk id="117" max="26" man="1"/>
    <brk id="1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4"/>
  <sheetViews>
    <sheetView zoomScale="115" zoomScaleNormal="115" workbookViewId="0"/>
  </sheetViews>
  <sheetFormatPr defaultColWidth="9.109375" defaultRowHeight="13.2" x14ac:dyDescent="0.25"/>
  <cols>
    <col min="1" max="1" width="6.44140625" style="8" customWidth="1"/>
    <col min="2" max="2" width="45.44140625" style="8" customWidth="1"/>
    <col min="3" max="3" width="11" style="8" customWidth="1"/>
    <col min="4" max="4" width="9.88671875" style="8" bestFit="1" customWidth="1"/>
    <col min="5" max="7" width="7.6640625" style="8" customWidth="1"/>
    <col min="8" max="8" width="9.5546875" style="8" customWidth="1"/>
    <col min="9" max="9" width="7.6640625" style="8" customWidth="1"/>
    <col min="10" max="10" width="10.88671875" style="8" bestFit="1" customWidth="1"/>
    <col min="11" max="11" width="11" style="8" customWidth="1"/>
    <col min="12" max="12" width="10.88671875" style="8" bestFit="1" customWidth="1"/>
    <col min="13" max="14" width="10.88671875" style="8" customWidth="1"/>
    <col min="15" max="15" width="9.6640625" style="8" bestFit="1" customWidth="1"/>
    <col min="16" max="16" width="11.5546875" style="17" customWidth="1"/>
    <col min="17" max="18" width="9.109375" style="8"/>
    <col min="19" max="20" width="9.109375" style="8" customWidth="1"/>
    <col min="21" max="16384" width="9.109375" style="8"/>
  </cols>
  <sheetData>
    <row r="1" spans="1:33" ht="15" customHeight="1" thickBot="1" x14ac:dyDescent="0.25">
      <c r="B1" s="247" t="s">
        <v>52</v>
      </c>
      <c r="C1" s="244">
        <f>+O160</f>
        <v>0.22130232111899439</v>
      </c>
      <c r="D1" s="149"/>
      <c r="E1" s="87" t="str">
        <f>+'cfs limit calculation'!J1</f>
        <v>FACILITY NAME:</v>
      </c>
      <c r="F1" s="17"/>
      <c r="G1" s="17"/>
      <c r="H1" s="17" t="str">
        <f>+'cfs limit calculation'!L1</f>
        <v>XXXXXX Hydro Project</v>
      </c>
    </row>
    <row r="2" spans="1:33" ht="15" customHeight="1" x14ac:dyDescent="0.2">
      <c r="B2" s="114" t="s">
        <v>50</v>
      </c>
      <c r="C2" s="245">
        <f>+O161</f>
        <v>0.18120191642330666</v>
      </c>
      <c r="D2" s="150"/>
      <c r="E2" s="197" t="s">
        <v>74</v>
      </c>
      <c r="F2" s="121"/>
      <c r="G2" s="121"/>
      <c r="H2" s="121"/>
    </row>
    <row r="3" spans="1:33" ht="15" customHeight="1" thickBot="1" x14ac:dyDescent="0.25">
      <c r="B3" s="115" t="s">
        <v>51</v>
      </c>
      <c r="C3" s="246">
        <f>+O162</f>
        <v>0.81879808357669337</v>
      </c>
      <c r="D3" s="150"/>
      <c r="Z3" s="17"/>
    </row>
    <row r="4" spans="1:33" ht="15" customHeight="1" x14ac:dyDescent="0.2">
      <c r="A4" s="6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68"/>
      <c r="S4" s="12"/>
      <c r="Z4" s="17"/>
    </row>
    <row r="5" spans="1:33" ht="15" customHeight="1" thickBot="1" x14ac:dyDescent="0.35">
      <c r="A5" s="71" t="s">
        <v>61</v>
      </c>
      <c r="O5" s="71" t="s">
        <v>61</v>
      </c>
      <c r="P5" s="184"/>
      <c r="R5" s="13"/>
      <c r="S5" s="66"/>
      <c r="W5" s="66"/>
      <c r="Z5" s="67"/>
    </row>
    <row r="6" spans="1:33" ht="15" customHeight="1" thickBot="1" x14ac:dyDescent="0.25">
      <c r="A6" s="69"/>
      <c r="B6" s="12"/>
      <c r="C6" s="60" t="s">
        <v>3</v>
      </c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13</v>
      </c>
      <c r="J6" s="38" t="s">
        <v>9</v>
      </c>
      <c r="K6" s="38" t="s">
        <v>10</v>
      </c>
      <c r="L6" s="38" t="s">
        <v>11</v>
      </c>
      <c r="M6" s="38" t="s">
        <v>14</v>
      </c>
      <c r="N6" s="59" t="s">
        <v>12</v>
      </c>
      <c r="O6" s="186" t="s">
        <v>68</v>
      </c>
      <c r="P6" s="187" t="s">
        <v>69</v>
      </c>
      <c r="Q6" s="1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15" customHeight="1" x14ac:dyDescent="0.2">
      <c r="A7" s="86">
        <v>1995</v>
      </c>
      <c r="B7" s="151" t="s">
        <v>45</v>
      </c>
      <c r="C7" s="79">
        <f>+'Monthly Historical Flow-Gen'!B33</f>
        <v>1264.0024038461538</v>
      </c>
      <c r="D7" s="80">
        <f>+'Monthly Historical Flow-Gen'!C33</f>
        <v>734.45192307692309</v>
      </c>
      <c r="E7" s="80">
        <f>+'Monthly Historical Flow-Gen'!D33</f>
        <v>998.78365384615381</v>
      </c>
      <c r="F7" s="80">
        <f>+'Monthly Historical Flow-Gen'!E33</f>
        <v>571.32908653846152</v>
      </c>
      <c r="G7" s="80">
        <f>+'Monthly Historical Flow-Gen'!F33</f>
        <v>455.57307692307694</v>
      </c>
      <c r="H7" s="80">
        <f>+'Monthly Historical Flow-Gen'!G33</f>
        <v>213.94903846153844</v>
      </c>
      <c r="I7" s="80">
        <f>+'Monthly Historical Flow-Gen'!H33</f>
        <v>128.08557692307693</v>
      </c>
      <c r="J7" s="80">
        <f>+'Monthly Historical Flow-Gen'!I33</f>
        <v>112.47403846153846</v>
      </c>
      <c r="K7" s="80">
        <f>+'Monthly Historical Flow-Gen'!J33</f>
        <v>94.290144230769229</v>
      </c>
      <c r="L7" s="80">
        <f>+'Monthly Historical Flow-Gen'!K33</f>
        <v>449.63004807692306</v>
      </c>
      <c r="M7" s="80">
        <f>+'Monthly Historical Flow-Gen'!L33</f>
        <v>967.73798076923072</v>
      </c>
      <c r="N7" s="81">
        <f>+'Monthly Historical Flow-Gen'!M33</f>
        <v>474.46658653846151</v>
      </c>
      <c r="O7" s="86">
        <f>+A7</f>
        <v>1995</v>
      </c>
      <c r="P7" s="188"/>
      <c r="Q7" s="52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55"/>
    </row>
    <row r="8" spans="1:33" ht="15" customHeight="1" x14ac:dyDescent="0.2">
      <c r="B8" s="22" t="s">
        <v>43</v>
      </c>
      <c r="C8" s="47">
        <f>IF(C7&gt;$O8,$O8,C7)</f>
        <v>927.14285714285722</v>
      </c>
      <c r="D8" s="46">
        <f t="shared" ref="D8:N8" si="0">IF(D7&gt;$O8,$O8,D7)</f>
        <v>734.45192307692309</v>
      </c>
      <c r="E8" s="46">
        <f t="shared" si="0"/>
        <v>927.14285714285722</v>
      </c>
      <c r="F8" s="46">
        <f t="shared" si="0"/>
        <v>571.32908653846152</v>
      </c>
      <c r="G8" s="46">
        <f t="shared" si="0"/>
        <v>455.57307692307694</v>
      </c>
      <c r="H8" s="46">
        <f t="shared" si="0"/>
        <v>213.94903846153844</v>
      </c>
      <c r="I8" s="46">
        <f t="shared" si="0"/>
        <v>128.08557692307693</v>
      </c>
      <c r="J8" s="46">
        <f t="shared" si="0"/>
        <v>112.47403846153846</v>
      </c>
      <c r="K8" s="46">
        <f t="shared" si="0"/>
        <v>94.290144230769229</v>
      </c>
      <c r="L8" s="46">
        <f t="shared" si="0"/>
        <v>449.63004807692306</v>
      </c>
      <c r="M8" s="46">
        <f t="shared" si="0"/>
        <v>927.14285714285722</v>
      </c>
      <c r="N8" s="45">
        <f t="shared" si="0"/>
        <v>474.46658653846151</v>
      </c>
      <c r="O8" s="185">
        <f>IF(P8="Pre",'cfs limit calculation'!$E$6,'cfs limit calculation'!$E$11)</f>
        <v>927.14285714285722</v>
      </c>
      <c r="P8" s="190" t="str">
        <f>+Calculations!P8</f>
        <v>Pre</v>
      </c>
      <c r="Q8" s="52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55"/>
    </row>
    <row r="9" spans="1:33" ht="15" customHeight="1" x14ac:dyDescent="0.2">
      <c r="A9" s="85"/>
      <c r="B9" s="8" t="s">
        <v>44</v>
      </c>
      <c r="C9" s="47">
        <f>+'Monthly Historical Flow-Gen'!B59</f>
        <v>879.73401045856804</v>
      </c>
      <c r="D9" s="46">
        <f>+'Monthly Historical Flow-Gen'!C59</f>
        <v>516.43645213628986</v>
      </c>
      <c r="E9" s="46">
        <f>+'Monthly Historical Flow-Gen'!D59</f>
        <v>660.42393967954752</v>
      </c>
      <c r="F9" s="46">
        <f>+'Monthly Historical Flow-Gen'!E59</f>
        <v>383.38440771349866</v>
      </c>
      <c r="G9" s="46">
        <f>+'Monthly Historical Flow-Gen'!F59</f>
        <v>363.27402409638563</v>
      </c>
      <c r="H9" s="46">
        <f>+'Monthly Historical Flow-Gen'!G59</f>
        <v>143.22403003754692</v>
      </c>
      <c r="I9" s="46">
        <f>+'Monthly Historical Flow-Gen'!H59</f>
        <v>63.896411092985325</v>
      </c>
      <c r="J9" s="46">
        <f>+'Monthly Historical Flow-Gen'!I59</f>
        <v>16.790730669188935</v>
      </c>
      <c r="K9" s="46">
        <f>+'Monthly Historical Flow-Gen'!J59</f>
        <v>0.29100508408290965</v>
      </c>
      <c r="L9" s="46">
        <f>+'Monthly Historical Flow-Gen'!K59</f>
        <v>49.736407229804506</v>
      </c>
      <c r="M9" s="46">
        <f>+'Monthly Historical Flow-Gen'!L59</f>
        <v>499.21974965229487</v>
      </c>
      <c r="N9" s="45">
        <f>+'Monthly Historical Flow-Gen'!M59</f>
        <v>181.67855937702791</v>
      </c>
      <c r="O9" s="85"/>
      <c r="P9" s="189"/>
      <c r="Q9" s="51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55"/>
    </row>
    <row r="10" spans="1:33" ht="15" customHeight="1" x14ac:dyDescent="0.2">
      <c r="B10" s="22" t="s">
        <v>67</v>
      </c>
      <c r="C10" s="47">
        <f>IF($P8="Pre",IF('cfs limit calculation'!B$17&gt;'Calculations - Outliers Removed'!C9,'Calculations - Outliers Removed'!C9,'cfs limit calculation'!B$17),IF('cfs limit calculation'!B$19&gt;'Calculations - Outliers Removed'!C9,'Calculations - Outliers Removed'!C9,'cfs limit calculation'!B$19))</f>
        <v>572.88</v>
      </c>
      <c r="D10" s="46">
        <f>IF($P8="Pre",IF('cfs limit calculation'!C$17&gt;'Calculations - Outliers Removed'!D9,'Calculations - Outliers Removed'!D9,'cfs limit calculation'!C$17),IF('cfs limit calculation'!C$19&gt;'Calculations - Outliers Removed'!D9,'Calculations - Outliers Removed'!D9,'cfs limit calculation'!C$19))</f>
        <v>516.43645213628986</v>
      </c>
      <c r="E10" s="46">
        <f>IF($P8="Pre",IF('cfs limit calculation'!D$17&gt;'Calculations - Outliers Removed'!E9,'Calculations - Outliers Removed'!E9,'cfs limit calculation'!D$17),IF('cfs limit calculation'!D$19&gt;'Calculations - Outliers Removed'!E9,'Calculations - Outliers Removed'!E9,'cfs limit calculation'!D$19))</f>
        <v>572.88</v>
      </c>
      <c r="F10" s="46">
        <f>IF($P8="Pre",IF('cfs limit calculation'!E$17&gt;'Calculations - Outliers Removed'!F9,'Calculations - Outliers Removed'!F9,'cfs limit calculation'!E$17),IF('cfs limit calculation'!E$19&gt;'Calculations - Outliers Removed'!F9,'Calculations - Outliers Removed'!F9,'cfs limit calculation'!E$19))</f>
        <v>383.38440771349866</v>
      </c>
      <c r="G10" s="46">
        <f>IF($P8="Pre",IF('cfs limit calculation'!F$17&gt;'Calculations - Outliers Removed'!G9,'Calculations - Outliers Removed'!G9,'cfs limit calculation'!F$17),IF('cfs limit calculation'!F$19&gt;'Calculations - Outliers Removed'!G9,'Calculations - Outliers Removed'!G9,'cfs limit calculation'!F$19))</f>
        <v>363.27402409638563</v>
      </c>
      <c r="H10" s="46">
        <f>IF($P8="Pre",IF('cfs limit calculation'!G$17&gt;'Calculations - Outliers Removed'!H9,'Calculations - Outliers Removed'!H9,'cfs limit calculation'!G$17),IF('cfs limit calculation'!G$19&gt;'Calculations - Outliers Removed'!H9,'Calculations - Outliers Removed'!H9,'cfs limit calculation'!G$19))</f>
        <v>143.22403003754692</v>
      </c>
      <c r="I10" s="46">
        <f>IF($P8="Pre",IF('cfs limit calculation'!H$17&gt;'Calculations - Outliers Removed'!I9,'Calculations - Outliers Removed'!I9,'cfs limit calculation'!H$17),IF('cfs limit calculation'!H$19&gt;'Calculations - Outliers Removed'!I9,'Calculations - Outliers Removed'!I9,'cfs limit calculation'!H$19))</f>
        <v>63.896411092985325</v>
      </c>
      <c r="J10" s="46">
        <f>IF($P8="Pre",IF('cfs limit calculation'!I$17&gt;'Calculations - Outliers Removed'!J9,'Calculations - Outliers Removed'!J9,'cfs limit calculation'!I$17),IF('cfs limit calculation'!I$19&gt;'Calculations - Outliers Removed'!J9,'Calculations - Outliers Removed'!J9,'cfs limit calculation'!I$19))</f>
        <v>16.790730669188935</v>
      </c>
      <c r="K10" s="46">
        <f>IF($P8="Pre",IF('cfs limit calculation'!J$17&gt;'Calculations - Outliers Removed'!K9,'Calculations - Outliers Removed'!K9,'cfs limit calculation'!J$17),IF('cfs limit calculation'!J$19&gt;'Calculations - Outliers Removed'!K9,'Calculations - Outliers Removed'!K9,'cfs limit calculation'!J$19))</f>
        <v>0.29100508408290965</v>
      </c>
      <c r="L10" s="46">
        <f>IF($P8="Pre",IF('cfs limit calculation'!K$17&gt;'Calculations - Outliers Removed'!L9,'Calculations - Outliers Removed'!L9,'cfs limit calculation'!K$17),IF('cfs limit calculation'!K$19&gt;'Calculations - Outliers Removed'!L9,'Calculations - Outliers Removed'!L9,'cfs limit calculation'!K$19))</f>
        <v>49.736407229804506</v>
      </c>
      <c r="M10" s="46">
        <f>IF($P8="Pre",IF('cfs limit calculation'!L$17&gt;'Calculations - Outliers Removed'!M9,'Calculations - Outliers Removed'!M9,'cfs limit calculation'!L$17),IF('cfs limit calculation'!L$19&gt;'Calculations - Outliers Removed'!M9,'Calculations - Outliers Removed'!M9,'cfs limit calculation'!L$19))</f>
        <v>499.21974965229487</v>
      </c>
      <c r="N10" s="45">
        <f>IF($P8="Pre",IF('cfs limit calculation'!M$17&gt;'Calculations - Outliers Removed'!N9,'Calculations - Outliers Removed'!N9,'cfs limit calculation'!M$17),IF('cfs limit calculation'!M$19&gt;'Calculations - Outliers Removed'!N9,'Calculations - Outliers Removed'!N9,'cfs limit calculation'!M$19))</f>
        <v>181.67855937702791</v>
      </c>
      <c r="O10" s="65"/>
      <c r="P10" s="48"/>
      <c r="Q10" s="51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55"/>
    </row>
    <row r="11" spans="1:33" ht="15" customHeight="1" thickBot="1" x14ac:dyDescent="0.25">
      <c r="A11" s="78"/>
      <c r="B11" s="155" t="s">
        <v>42</v>
      </c>
      <c r="C11" s="265">
        <f t="shared" ref="C11:N11" si="1">+C10/C8</f>
        <v>0.61789830508474575</v>
      </c>
      <c r="D11" s="266">
        <f t="shared" si="1"/>
        <v>0.70315896236301456</v>
      </c>
      <c r="E11" s="266">
        <f t="shared" si="1"/>
        <v>0.61789830508474575</v>
      </c>
      <c r="F11" s="266">
        <f t="shared" si="1"/>
        <v>0.67103954051478076</v>
      </c>
      <c r="G11" s="266">
        <f t="shared" si="1"/>
        <v>0.7974001153666157</v>
      </c>
      <c r="H11" s="266">
        <f t="shared" si="1"/>
        <v>0.66943058528068244</v>
      </c>
      <c r="I11" s="266">
        <f t="shared" si="1"/>
        <v>0.49885719085575853</v>
      </c>
      <c r="J11" s="266">
        <f t="shared" si="1"/>
        <v>0.14928538975623856</v>
      </c>
      <c r="K11" s="266">
        <f t="shared" si="1"/>
        <v>3.0862725522053814E-3</v>
      </c>
      <c r="L11" s="266">
        <f t="shared" si="1"/>
        <v>0.11061628875233792</v>
      </c>
      <c r="M11" s="266">
        <f t="shared" si="1"/>
        <v>0.53844965293776026</v>
      </c>
      <c r="N11" s="267">
        <f t="shared" si="1"/>
        <v>0.38291117758679211</v>
      </c>
      <c r="O11" s="78"/>
      <c r="P11" s="191"/>
      <c r="Q11" s="51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55"/>
    </row>
    <row r="12" spans="1:33" ht="15" customHeight="1" x14ac:dyDescent="0.2">
      <c r="A12" s="85">
        <v>1996</v>
      </c>
      <c r="B12" s="58" t="s">
        <v>45</v>
      </c>
      <c r="C12" s="47">
        <f>+'Monthly Historical Flow-Gen'!B34</f>
        <v>1513.2548076923076</v>
      </c>
      <c r="D12" s="46">
        <f>+'Monthly Historical Flow-Gen'!C34</f>
        <v>1528.3341346153845</v>
      </c>
      <c r="E12" s="46">
        <f>+'Monthly Historical Flow-Gen'!D34</f>
        <v>1228.5216346153845</v>
      </c>
      <c r="F12" s="46">
        <f>+'Monthly Historical Flow-Gen'!E34</f>
        <v>1589.5384615384614</v>
      </c>
      <c r="G12" s="46">
        <f>+'Monthly Historical Flow-Gen'!F34</f>
        <v>1083.0504807692307</v>
      </c>
      <c r="H12" s="46">
        <f>+'Monthly Historical Flow-Gen'!G34</f>
        <v>404.56947115384617</v>
      </c>
      <c r="I12" s="46">
        <f>+'Monthly Historical Flow-Gen'!H34</f>
        <v>497.26298076923075</v>
      </c>
      <c r="J12" s="46">
        <f>+'Monthly Historical Flow-Gen'!I34</f>
        <v>260.69495192307687</v>
      </c>
      <c r="K12" s="46">
        <f>+'Monthly Historical Flow-Gen'!J34</f>
        <v>503.64951923076916</v>
      </c>
      <c r="L12" s="46">
        <f>+'Monthly Historical Flow-Gen'!K34</f>
        <v>1201.0240384615383</v>
      </c>
      <c r="M12" s="46">
        <f>+'Monthly Historical Flow-Gen'!L34</f>
        <v>846.57115384615383</v>
      </c>
      <c r="N12" s="45">
        <f>+'Monthly Historical Flow-Gen'!M34</f>
        <v>2103.1225961538462</v>
      </c>
      <c r="O12" s="85">
        <f>+A12</f>
        <v>1996</v>
      </c>
      <c r="P12" s="189"/>
      <c r="Q12" s="51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55"/>
    </row>
    <row r="13" spans="1:33" ht="15" customHeight="1" x14ac:dyDescent="0.2">
      <c r="A13" s="65"/>
      <c r="B13" s="48" t="s">
        <v>43</v>
      </c>
      <c r="C13" s="47">
        <f>IF(C12&gt;$O13,$O13,C12)</f>
        <v>927.14285714285722</v>
      </c>
      <c r="D13" s="46">
        <f t="shared" ref="D13:N13" si="2">IF(D12&gt;$O13,$O13,D12)</f>
        <v>927.14285714285722</v>
      </c>
      <c r="E13" s="46">
        <f t="shared" si="2"/>
        <v>927.14285714285722</v>
      </c>
      <c r="F13" s="46">
        <f t="shared" si="2"/>
        <v>927.14285714285722</v>
      </c>
      <c r="G13" s="46">
        <f t="shared" si="2"/>
        <v>927.14285714285722</v>
      </c>
      <c r="H13" s="46">
        <f t="shared" si="2"/>
        <v>404.56947115384617</v>
      </c>
      <c r="I13" s="46">
        <f t="shared" si="2"/>
        <v>497.26298076923075</v>
      </c>
      <c r="J13" s="46">
        <f t="shared" si="2"/>
        <v>260.69495192307687</v>
      </c>
      <c r="K13" s="46">
        <f t="shared" si="2"/>
        <v>503.64951923076916</v>
      </c>
      <c r="L13" s="46">
        <f t="shared" si="2"/>
        <v>927.14285714285722</v>
      </c>
      <c r="M13" s="46">
        <f t="shared" si="2"/>
        <v>846.57115384615383</v>
      </c>
      <c r="N13" s="45">
        <f t="shared" si="2"/>
        <v>927.14285714285722</v>
      </c>
      <c r="O13" s="185">
        <f>IF(P13="Pre",'cfs limit calculation'!$E$6,'cfs limit calculation'!$E$11)</f>
        <v>927.14285714285722</v>
      </c>
      <c r="P13" s="190" t="str">
        <f>+Calculations!P13</f>
        <v>Pre</v>
      </c>
      <c r="Q13" s="5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55"/>
    </row>
    <row r="14" spans="1:33" ht="15" customHeight="1" x14ac:dyDescent="0.2">
      <c r="A14" s="85"/>
      <c r="B14" s="8" t="s">
        <v>44</v>
      </c>
      <c r="C14" s="47">
        <f>+'Monthly Historical Flow-Gen'!B60</f>
        <v>1053.2113837489944</v>
      </c>
      <c r="D14" s="46">
        <f>+'Monthly Historical Flow-Gen'!C60</f>
        <v>1074.6618442401298</v>
      </c>
      <c r="E14" s="46">
        <f>+'Monthly Historical Flow-Gen'!D60</f>
        <v>812.33317624882181</v>
      </c>
      <c r="F14" s="46">
        <f>+'Monthly Historical Flow-Gen'!E60</f>
        <v>1066.6431588613407</v>
      </c>
      <c r="G14" s="46">
        <f>+'Monthly Historical Flow-Gen'!F60</f>
        <v>863.62457831325321</v>
      </c>
      <c r="H14" s="46">
        <f>+'Monthly Historical Flow-Gen'!G60</f>
        <v>270.83117786121545</v>
      </c>
      <c r="I14" s="46">
        <f>+'Monthly Historical Flow-Gen'!H60</f>
        <v>248.06321370309954</v>
      </c>
      <c r="J14" s="46">
        <f>+'Monthly Historical Flow-Gen'!I60</f>
        <v>38.917947505320406</v>
      </c>
      <c r="K14" s="46">
        <f>+'Monthly Historical Flow-Gen'!J60</f>
        <v>1.5543996871333592</v>
      </c>
      <c r="L14" s="46">
        <f>+'Monthly Historical Flow-Gen'!K60</f>
        <v>132.85282183696054</v>
      </c>
      <c r="M14" s="46">
        <f>+'Monthly Historical Flow-Gen'!L60</f>
        <v>436.71432545201674</v>
      </c>
      <c r="N14" s="45">
        <f>+'Monthly Historical Flow-Gen'!M60</f>
        <v>805.30914990266069</v>
      </c>
      <c r="O14" s="85"/>
      <c r="P14" s="189"/>
      <c r="Q14" s="51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55"/>
    </row>
    <row r="15" spans="1:33" ht="15" customHeight="1" x14ac:dyDescent="0.2">
      <c r="B15" s="22" t="s">
        <v>67</v>
      </c>
      <c r="C15" s="47">
        <f>IF($P13="Pre",IF('cfs limit calculation'!B$17&gt;'Calculations - Outliers Removed'!C14,'Calculations - Outliers Removed'!C14,'cfs limit calculation'!B$17),IF('cfs limit calculation'!B$19&gt;'Calculations - Outliers Removed'!C14,'Calculations - Outliers Removed'!C14,'cfs limit calculation'!B$19))</f>
        <v>572.88</v>
      </c>
      <c r="D15" s="46">
        <f>IF($P13="Pre",IF('cfs limit calculation'!C$17&gt;'Calculations - Outliers Removed'!D14,'Calculations - Outliers Removed'!D14,'cfs limit calculation'!C$17),IF('cfs limit calculation'!C$19&gt;'Calculations - Outliers Removed'!D14,'Calculations - Outliers Removed'!D14,'cfs limit calculation'!C$19))</f>
        <v>522.05999999999995</v>
      </c>
      <c r="E15" s="46">
        <f>IF($P13="Pre",IF('cfs limit calculation'!D$17&gt;'Calculations - Outliers Removed'!E14,'Calculations - Outliers Removed'!E14,'cfs limit calculation'!D$17),IF('cfs limit calculation'!D$19&gt;'Calculations - Outliers Removed'!E14,'Calculations - Outliers Removed'!E14,'cfs limit calculation'!D$19))</f>
        <v>572.88</v>
      </c>
      <c r="F15" s="46">
        <f>IF($P13="Pre",IF('cfs limit calculation'!E$17&gt;'Calculations - Outliers Removed'!F14,'Calculations - Outliers Removed'!F14,'cfs limit calculation'!E$17),IF('cfs limit calculation'!E$19&gt;'Calculations - Outliers Removed'!F14,'Calculations - Outliers Removed'!F14,'cfs limit calculation'!E$19))</f>
        <v>554.4</v>
      </c>
      <c r="G15" s="46">
        <f>IF($P13="Pre",IF('cfs limit calculation'!F$17&gt;'Calculations - Outliers Removed'!G14,'Calculations - Outliers Removed'!G14,'cfs limit calculation'!F$17),IF('cfs limit calculation'!F$19&gt;'Calculations - Outliers Removed'!G14,'Calculations - Outliers Removed'!G14,'cfs limit calculation'!F$19))</f>
        <v>572.88</v>
      </c>
      <c r="H15" s="46">
        <f>IF($P13="Pre",IF('cfs limit calculation'!G$17&gt;'Calculations - Outliers Removed'!H14,'Calculations - Outliers Removed'!H14,'cfs limit calculation'!G$17),IF('cfs limit calculation'!G$19&gt;'Calculations - Outliers Removed'!H14,'Calculations - Outliers Removed'!H14,'cfs limit calculation'!G$19))</f>
        <v>270.83117786121545</v>
      </c>
      <c r="I15" s="46">
        <f>IF($P13="Pre",IF('cfs limit calculation'!H$17&gt;'Calculations - Outliers Removed'!I14,'Calculations - Outliers Removed'!I14,'cfs limit calculation'!H$17),IF('cfs limit calculation'!H$19&gt;'Calculations - Outliers Removed'!I14,'Calculations - Outliers Removed'!I14,'cfs limit calculation'!H$19))</f>
        <v>248.06321370309954</v>
      </c>
      <c r="J15" s="46">
        <f>IF($P13="Pre",IF('cfs limit calculation'!I$17&gt;'Calculations - Outliers Removed'!J14,'Calculations - Outliers Removed'!J14,'cfs limit calculation'!I$17),IF('cfs limit calculation'!I$19&gt;'Calculations - Outliers Removed'!J14,'Calculations - Outliers Removed'!J14,'cfs limit calculation'!I$19))</f>
        <v>38.917947505320406</v>
      </c>
      <c r="K15" s="46">
        <f>IF($P13="Pre",IF('cfs limit calculation'!J$17&gt;'Calculations - Outliers Removed'!K14,'Calculations - Outliers Removed'!K14,'cfs limit calculation'!J$17),IF('cfs limit calculation'!J$19&gt;'Calculations - Outliers Removed'!K14,'Calculations - Outliers Removed'!K14,'cfs limit calculation'!J$19))</f>
        <v>1.5543996871333592</v>
      </c>
      <c r="L15" s="46">
        <f>IF($P13="Pre",IF('cfs limit calculation'!K$17&gt;'Calculations - Outliers Removed'!L14,'Calculations - Outliers Removed'!L14,'cfs limit calculation'!K$17),IF('cfs limit calculation'!K$19&gt;'Calculations - Outliers Removed'!L14,'Calculations - Outliers Removed'!L14,'cfs limit calculation'!K$19))</f>
        <v>132.85282183696054</v>
      </c>
      <c r="M15" s="46">
        <f>IF($P13="Pre",IF('cfs limit calculation'!L$17&gt;'Calculations - Outliers Removed'!M14,'Calculations - Outliers Removed'!M14,'cfs limit calculation'!L$17),IF('cfs limit calculation'!L$19&gt;'Calculations - Outliers Removed'!M14,'Calculations - Outliers Removed'!M14,'cfs limit calculation'!L$19))</f>
        <v>436.71432545201674</v>
      </c>
      <c r="N15" s="45">
        <f>IF($P13="Pre",IF('cfs limit calculation'!M$17&gt;'Calculations - Outliers Removed'!N14,'Calculations - Outliers Removed'!N14,'cfs limit calculation'!M$17),IF('cfs limit calculation'!M$19&gt;'Calculations - Outliers Removed'!N14,'Calculations - Outliers Removed'!N14,'cfs limit calculation'!M$19))</f>
        <v>572.88</v>
      </c>
      <c r="O15" s="85"/>
      <c r="P15" s="189"/>
      <c r="Q15" s="51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55"/>
    </row>
    <row r="16" spans="1:33" ht="15" customHeight="1" thickBot="1" x14ac:dyDescent="0.25">
      <c r="A16" s="78"/>
      <c r="B16" s="50" t="s">
        <v>42</v>
      </c>
      <c r="C16" s="265">
        <f t="shared" ref="C16:N16" si="3">+C15/C13</f>
        <v>0.61789830508474575</v>
      </c>
      <c r="D16" s="266">
        <f t="shared" si="3"/>
        <v>0.56308474576271172</v>
      </c>
      <c r="E16" s="266">
        <f t="shared" si="3"/>
        <v>0.61789830508474575</v>
      </c>
      <c r="F16" s="266">
        <f t="shared" si="3"/>
        <v>0.59796610169491515</v>
      </c>
      <c r="G16" s="266">
        <f t="shared" si="3"/>
        <v>0.61789830508474575</v>
      </c>
      <c r="H16" s="266">
        <f t="shared" si="3"/>
        <v>0.66943058528068256</v>
      </c>
      <c r="I16" s="266">
        <f t="shared" si="3"/>
        <v>0.49885719085575853</v>
      </c>
      <c r="J16" s="266">
        <f t="shared" si="3"/>
        <v>0.14928538975623856</v>
      </c>
      <c r="K16" s="266">
        <f t="shared" si="3"/>
        <v>3.0862725522053814E-3</v>
      </c>
      <c r="L16" s="266">
        <f t="shared" si="3"/>
        <v>0.14329272000904833</v>
      </c>
      <c r="M16" s="268">
        <f t="shared" si="3"/>
        <v>0.51586251606605082</v>
      </c>
      <c r="N16" s="267">
        <f t="shared" si="3"/>
        <v>0.61789830508474575</v>
      </c>
      <c r="O16" s="78"/>
      <c r="P16" s="191"/>
      <c r="Q16" s="51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55"/>
    </row>
    <row r="17" spans="1:33" ht="15" customHeight="1" x14ac:dyDescent="0.2">
      <c r="A17" s="85">
        <v>1997</v>
      </c>
      <c r="B17" s="58" t="s">
        <v>45</v>
      </c>
      <c r="C17" s="47">
        <f>+'Monthly Historical Flow-Gen'!B35</f>
        <v>1169.9783653846152</v>
      </c>
      <c r="D17" s="46">
        <f>+'Monthly Historical Flow-Gen'!C35</f>
        <v>1024.5072115384614</v>
      </c>
      <c r="E17" s="46">
        <f>+'Monthly Historical Flow-Gen'!D35</f>
        <v>938.46634615384608</v>
      </c>
      <c r="F17" s="46">
        <f>+'Monthly Historical Flow-Gen'!E35</f>
        <v>1872.497596153846</v>
      </c>
      <c r="G17" s="46">
        <f>+'Monthly Historical Flow-Gen'!F35</f>
        <v>826.25841346153845</v>
      </c>
      <c r="H17" s="46">
        <f>+'Monthly Historical Flow-Gen'!G35</f>
        <v>261.93677884615386</v>
      </c>
      <c r="I17" s="46">
        <f>+'Monthly Historical Flow-Gen'!H35</f>
        <v>111.94182692307692</v>
      </c>
      <c r="J17" s="46">
        <f>+'Monthly Historical Flow-Gen'!I35</f>
        <v>110.43389423076923</v>
      </c>
      <c r="K17" s="46">
        <f>+'Monthly Historical Flow-Gen'!J35</f>
        <v>91.895192307692298</v>
      </c>
      <c r="L17" s="46">
        <f>+'Monthly Historical Flow-Gen'!K35</f>
        <v>109.1920673076923</v>
      </c>
      <c r="M17" s="46">
        <f>+'Monthly Historical Flow-Gen'!L35</f>
        <v>382.6600961538461</v>
      </c>
      <c r="N17" s="36">
        <f>+'Monthly Historical Flow-Gen'!M35</f>
        <v>306.55384615384617</v>
      </c>
      <c r="O17" s="85">
        <f>+A17</f>
        <v>1997</v>
      </c>
      <c r="P17" s="189"/>
      <c r="Q17" s="51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55"/>
    </row>
    <row r="18" spans="1:33" ht="15" customHeight="1" x14ac:dyDescent="0.2">
      <c r="A18" s="65"/>
      <c r="B18" s="48" t="s">
        <v>43</v>
      </c>
      <c r="C18" s="47">
        <f>IF(C17&gt;$O18,$O18,C17)</f>
        <v>927.14285714285722</v>
      </c>
      <c r="D18" s="46">
        <f t="shared" ref="D18:N18" si="4">IF(D17&gt;$O18,$O18,D17)</f>
        <v>927.14285714285722</v>
      </c>
      <c r="E18" s="46">
        <f t="shared" si="4"/>
        <v>927.14285714285722</v>
      </c>
      <c r="F18" s="46">
        <f t="shared" si="4"/>
        <v>927.14285714285722</v>
      </c>
      <c r="G18" s="46">
        <f t="shared" si="4"/>
        <v>826.25841346153845</v>
      </c>
      <c r="H18" s="46">
        <f t="shared" si="4"/>
        <v>261.93677884615386</v>
      </c>
      <c r="I18" s="46">
        <f t="shared" si="4"/>
        <v>111.94182692307692</v>
      </c>
      <c r="J18" s="46">
        <f t="shared" si="4"/>
        <v>110.43389423076923</v>
      </c>
      <c r="K18" s="46">
        <f t="shared" si="4"/>
        <v>91.895192307692298</v>
      </c>
      <c r="L18" s="46">
        <f t="shared" si="4"/>
        <v>109.1920673076923</v>
      </c>
      <c r="M18" s="46">
        <f t="shared" si="4"/>
        <v>382.6600961538461</v>
      </c>
      <c r="N18" s="45">
        <f t="shared" si="4"/>
        <v>306.55384615384617</v>
      </c>
      <c r="O18" s="185">
        <f>IF(P18="Pre",'cfs limit calculation'!$E$6,'cfs limit calculation'!$E$11)</f>
        <v>927.14285714285722</v>
      </c>
      <c r="P18" s="190" t="str">
        <f>+Calculations!P18</f>
        <v>Pre</v>
      </c>
      <c r="Q18" s="51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55"/>
    </row>
    <row r="19" spans="1:33" ht="15" customHeight="1" x14ac:dyDescent="0.2">
      <c r="A19" s="85"/>
      <c r="B19" s="8" t="s">
        <v>44</v>
      </c>
      <c r="C19" s="47">
        <f>+'Monthly Historical Flow-Gen'!B61</f>
        <v>814.29414722445688</v>
      </c>
      <c r="D19" s="46">
        <f>+'Monthly Historical Flow-Gen'!C61</f>
        <v>720.39142779881013</v>
      </c>
      <c r="E19" s="46">
        <f>+'Monthly Historical Flow-Gen'!D61</f>
        <v>620.54043355325155</v>
      </c>
      <c r="F19" s="46">
        <f>+'Monthly Historical Flow-Gen'!E61</f>
        <v>1256.5199265381084</v>
      </c>
      <c r="G19" s="46">
        <f>+'Monthly Historical Flow-Gen'!F61</f>
        <v>658.85855421686767</v>
      </c>
      <c r="H19" s="46">
        <f>+'Monthly Historical Flow-Gen'!G61</f>
        <v>175.34849116951747</v>
      </c>
      <c r="I19" s="46">
        <f>+'Monthly Historical Flow-Gen'!H61</f>
        <v>55.842985318107672</v>
      </c>
      <c r="J19" s="46">
        <f>+'Monthly Historical Flow-Gen'!I61</f>
        <v>16.486166942539608</v>
      </c>
      <c r="K19" s="46">
        <f>+'Monthly Historical Flow-Gen'!J61</f>
        <v>0.28361360969886584</v>
      </c>
      <c r="L19" s="46">
        <f>+'Monthly Historical Flow-Gen'!K61</f>
        <v>12.078421246772409</v>
      </c>
      <c r="M19" s="46">
        <f>+'Monthly Historical Flow-Gen'!L61</f>
        <v>197.39999999999998</v>
      </c>
      <c r="N19" s="45">
        <f>+'Monthly Historical Flow-Gen'!M61</f>
        <v>117.38289422452954</v>
      </c>
      <c r="O19" s="85"/>
      <c r="P19" s="189"/>
      <c r="Q19" s="51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55"/>
    </row>
    <row r="20" spans="1:33" ht="15" customHeight="1" x14ac:dyDescent="0.2">
      <c r="B20" s="22" t="s">
        <v>67</v>
      </c>
      <c r="C20" s="47">
        <f>IF($P18="Pre",IF('cfs limit calculation'!B$17&gt;'Calculations - Outliers Removed'!C19,'Calculations - Outliers Removed'!C19,'cfs limit calculation'!B$17),IF('cfs limit calculation'!B$19&gt;'Calculations - Outliers Removed'!C19,'Calculations - Outliers Removed'!C19,'cfs limit calculation'!B$19))</f>
        <v>572.88</v>
      </c>
      <c r="D20" s="46">
        <f>IF($P18="Pre",IF('cfs limit calculation'!C$17&gt;'Calculations - Outliers Removed'!D19,'Calculations - Outliers Removed'!D19,'cfs limit calculation'!C$17),IF('cfs limit calculation'!C$19&gt;'Calculations - Outliers Removed'!D19,'Calculations - Outliers Removed'!D19,'cfs limit calculation'!C$19))</f>
        <v>522.05999999999995</v>
      </c>
      <c r="E20" s="46">
        <f>IF($P18="Pre",IF('cfs limit calculation'!D$17&gt;'Calculations - Outliers Removed'!E19,'Calculations - Outliers Removed'!E19,'cfs limit calculation'!D$17),IF('cfs limit calculation'!D$19&gt;'Calculations - Outliers Removed'!E19,'Calculations - Outliers Removed'!E19,'cfs limit calculation'!D$19))</f>
        <v>572.88</v>
      </c>
      <c r="F20" s="46">
        <f>IF($P18="Pre",IF('cfs limit calculation'!E$17&gt;'Calculations - Outliers Removed'!F19,'Calculations - Outliers Removed'!F19,'cfs limit calculation'!E$17),IF('cfs limit calculation'!E$19&gt;'Calculations - Outliers Removed'!F19,'Calculations - Outliers Removed'!F19,'cfs limit calculation'!E$19))</f>
        <v>554.4</v>
      </c>
      <c r="G20" s="46">
        <f>IF($P18="Pre",IF('cfs limit calculation'!F$17&gt;'Calculations - Outliers Removed'!G19,'Calculations - Outliers Removed'!G19,'cfs limit calculation'!F$17),IF('cfs limit calculation'!F$19&gt;'Calculations - Outliers Removed'!G19,'Calculations - Outliers Removed'!G19,'cfs limit calculation'!F$19))</f>
        <v>572.88</v>
      </c>
      <c r="H20" s="46">
        <f>IF($P18="Pre",IF('cfs limit calculation'!G$17&gt;'Calculations - Outliers Removed'!H19,'Calculations - Outliers Removed'!H19,'cfs limit calculation'!G$17),IF('cfs limit calculation'!G$19&gt;'Calculations - Outliers Removed'!H19,'Calculations - Outliers Removed'!H19,'cfs limit calculation'!G$19))</f>
        <v>175.34849116951747</v>
      </c>
      <c r="I20" s="46">
        <f>IF($P18="Pre",IF('cfs limit calculation'!H$17&gt;'Calculations - Outliers Removed'!I19,'Calculations - Outliers Removed'!I19,'cfs limit calculation'!H$17),IF('cfs limit calculation'!H$19&gt;'Calculations - Outliers Removed'!I19,'Calculations - Outliers Removed'!I19,'cfs limit calculation'!H$19))</f>
        <v>55.842985318107672</v>
      </c>
      <c r="J20" s="46">
        <f>IF($P18="Pre",IF('cfs limit calculation'!I$17&gt;'Calculations - Outliers Removed'!J19,'Calculations - Outliers Removed'!J19,'cfs limit calculation'!I$17),IF('cfs limit calculation'!I$19&gt;'Calculations - Outliers Removed'!J19,'Calculations - Outliers Removed'!J19,'cfs limit calculation'!I$19))</f>
        <v>16.486166942539608</v>
      </c>
      <c r="K20" s="46">
        <f>IF($P18="Pre",IF('cfs limit calculation'!J$17&gt;'Calculations - Outliers Removed'!K19,'Calculations - Outliers Removed'!K19,'cfs limit calculation'!J$17),IF('cfs limit calculation'!J$19&gt;'Calculations - Outliers Removed'!K19,'Calculations - Outliers Removed'!K19,'cfs limit calculation'!J$19))</f>
        <v>0.28361360969886584</v>
      </c>
      <c r="L20" s="46">
        <f>IF($P18="Pre",IF('cfs limit calculation'!K$17&gt;'Calculations - Outliers Removed'!L19,'Calculations - Outliers Removed'!L19,'cfs limit calculation'!K$17),IF('cfs limit calculation'!K$19&gt;'Calculations - Outliers Removed'!L19,'Calculations - Outliers Removed'!L19,'cfs limit calculation'!K$19))</f>
        <v>12.078421246772409</v>
      </c>
      <c r="M20" s="46">
        <f>IF($P18="Pre",IF('cfs limit calculation'!L$17&gt;'Calculations - Outliers Removed'!M19,'Calculations - Outliers Removed'!M19,'cfs limit calculation'!L$17),IF('cfs limit calculation'!L$19&gt;'Calculations - Outliers Removed'!M19,'Calculations - Outliers Removed'!M19,'cfs limit calculation'!L$19))</f>
        <v>197.39999999999998</v>
      </c>
      <c r="N20" s="45">
        <f>IF($P18="Pre",IF('cfs limit calculation'!M$17&gt;'Calculations - Outliers Removed'!N19,'Calculations - Outliers Removed'!N19,'cfs limit calculation'!M$17),IF('cfs limit calculation'!M$19&gt;'Calculations - Outliers Removed'!N19,'Calculations - Outliers Removed'!N19,'cfs limit calculation'!M$19))</f>
        <v>117.38289422452954</v>
      </c>
      <c r="O20" s="85"/>
      <c r="P20" s="189"/>
      <c r="Q20" s="51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55"/>
    </row>
    <row r="21" spans="1:33" ht="15" customHeight="1" thickBot="1" x14ac:dyDescent="0.25">
      <c r="A21" s="78"/>
      <c r="B21" s="50" t="s">
        <v>42</v>
      </c>
      <c r="C21" s="265">
        <f t="shared" ref="C21:N21" si="5">+C20/C18</f>
        <v>0.61789830508474575</v>
      </c>
      <c r="D21" s="268">
        <f t="shared" si="5"/>
        <v>0.56308474576271172</v>
      </c>
      <c r="E21" s="266">
        <f t="shared" si="5"/>
        <v>0.61789830508474575</v>
      </c>
      <c r="F21" s="268">
        <f t="shared" si="5"/>
        <v>0.59796610169491515</v>
      </c>
      <c r="G21" s="266">
        <f t="shared" si="5"/>
        <v>0.69334241039672873</v>
      </c>
      <c r="H21" s="266">
        <f t="shared" si="5"/>
        <v>0.66943058528068256</v>
      </c>
      <c r="I21" s="266">
        <f t="shared" si="5"/>
        <v>0.49885719085575853</v>
      </c>
      <c r="J21" s="266">
        <f t="shared" si="5"/>
        <v>0.14928538975623856</v>
      </c>
      <c r="K21" s="266">
        <f t="shared" si="5"/>
        <v>3.0862725522053814E-3</v>
      </c>
      <c r="L21" s="266">
        <f t="shared" si="5"/>
        <v>0.11061628875233792</v>
      </c>
      <c r="M21" s="266">
        <f t="shared" si="5"/>
        <v>0.51586251606605082</v>
      </c>
      <c r="N21" s="267">
        <f t="shared" si="5"/>
        <v>0.38291117758679211</v>
      </c>
      <c r="O21" s="78"/>
      <c r="P21" s="191"/>
      <c r="Q21" s="51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55"/>
    </row>
    <row r="22" spans="1:33" ht="15" customHeight="1" thickBot="1" x14ac:dyDescent="0.35">
      <c r="B22" s="43" t="s">
        <v>66</v>
      </c>
      <c r="C22" s="269">
        <f t="shared" ref="C22:N22" si="6">AVERAGE(C11,C16,C21)</f>
        <v>0.61789830508474575</v>
      </c>
      <c r="D22" s="270">
        <f t="shared" si="6"/>
        <v>0.60977615129614604</v>
      </c>
      <c r="E22" s="270">
        <f t="shared" si="6"/>
        <v>0.61789830508474575</v>
      </c>
      <c r="F22" s="270">
        <f t="shared" si="6"/>
        <v>0.62232391463487036</v>
      </c>
      <c r="G22" s="270">
        <f t="shared" si="6"/>
        <v>0.70288027694936339</v>
      </c>
      <c r="H22" s="270">
        <f t="shared" si="6"/>
        <v>0.66943058528068244</v>
      </c>
      <c r="I22" s="270">
        <f t="shared" si="6"/>
        <v>0.49885719085575858</v>
      </c>
      <c r="J22" s="270">
        <f t="shared" si="6"/>
        <v>0.14928538975623856</v>
      </c>
      <c r="K22" s="270">
        <f t="shared" si="6"/>
        <v>3.0862725522053814E-3</v>
      </c>
      <c r="L22" s="270">
        <f t="shared" si="6"/>
        <v>0.12150843250457471</v>
      </c>
      <c r="M22" s="270">
        <f t="shared" si="6"/>
        <v>0.52339156168995393</v>
      </c>
      <c r="N22" s="271">
        <f t="shared" si="6"/>
        <v>0.46124022008611004</v>
      </c>
      <c r="P22" s="64"/>
      <c r="Q22" s="62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55"/>
    </row>
    <row r="23" spans="1:33" ht="15" customHeight="1" x14ac:dyDescent="0.3">
      <c r="P23" s="64"/>
      <c r="Q23" s="62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55"/>
    </row>
    <row r="24" spans="1:33" ht="15" customHeight="1" thickBot="1" x14ac:dyDescent="0.35">
      <c r="A24" s="71" t="s">
        <v>62</v>
      </c>
      <c r="C24" s="13" t="s">
        <v>71</v>
      </c>
      <c r="F24" s="195">
        <v>40148</v>
      </c>
      <c r="O24" s="71" t="s">
        <v>62</v>
      </c>
      <c r="P24" s="64"/>
      <c r="Q24" s="62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55"/>
    </row>
    <row r="25" spans="1:33" ht="15" customHeight="1" thickBot="1" x14ac:dyDescent="0.35">
      <c r="C25" s="60" t="s">
        <v>3</v>
      </c>
      <c r="D25" s="38" t="s">
        <v>4</v>
      </c>
      <c r="E25" s="38" t="s">
        <v>5</v>
      </c>
      <c r="F25" s="38" t="s">
        <v>6</v>
      </c>
      <c r="G25" s="38" t="s">
        <v>7</v>
      </c>
      <c r="H25" s="38" t="s">
        <v>8</v>
      </c>
      <c r="I25" s="38" t="s">
        <v>13</v>
      </c>
      <c r="J25" s="38" t="s">
        <v>9</v>
      </c>
      <c r="K25" s="38" t="s">
        <v>10</v>
      </c>
      <c r="L25" s="38" t="s">
        <v>11</v>
      </c>
      <c r="M25" s="38" t="s">
        <v>14</v>
      </c>
      <c r="N25" s="59" t="s">
        <v>12</v>
      </c>
      <c r="O25" s="186" t="s">
        <v>68</v>
      </c>
      <c r="P25" s="187" t="s">
        <v>69</v>
      </c>
      <c r="Q25" s="62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55"/>
    </row>
    <row r="26" spans="1:33" ht="15" customHeight="1" x14ac:dyDescent="0.35">
      <c r="A26" s="86">
        <v>1991</v>
      </c>
      <c r="B26" s="58" t="s">
        <v>45</v>
      </c>
      <c r="C26" s="79">
        <f>+'Monthly Historical Flow-Gen'!B29</f>
        <v>839.65240384615379</v>
      </c>
      <c r="D26" s="80">
        <f>+'Monthly Historical Flow-Gen'!C29</f>
        <v>982.81730769230762</v>
      </c>
      <c r="E26" s="80">
        <f>+'Monthly Historical Flow-Gen'!D29</f>
        <v>1245.375</v>
      </c>
      <c r="F26" s="80">
        <f>+'Monthly Historical Flow-Gen'!E29</f>
        <v>908.30769230769226</v>
      </c>
      <c r="G26" s="80">
        <f>+'Monthly Historical Flow-Gen'!F29</f>
        <v>764.43317307692303</v>
      </c>
      <c r="H26" s="80">
        <f>+'Monthly Historical Flow-Gen'!G29</f>
        <v>256.43725961538462</v>
      </c>
      <c r="I26" s="80">
        <f>+'Monthly Historical Flow-Gen'!H29</f>
        <v>158.95384615384614</v>
      </c>
      <c r="J26" s="80">
        <f>+'Monthly Historical Flow-Gen'!I29</f>
        <v>473.13605769230765</v>
      </c>
      <c r="K26" s="80">
        <f>+'Monthly Historical Flow-Gen'!J29</f>
        <v>483.07067307692307</v>
      </c>
      <c r="L26" s="80">
        <f>+'Monthly Historical Flow-Gen'!K29</f>
        <v>527.59903846153838</v>
      </c>
      <c r="M26" s="80">
        <f>+'Monthly Historical Flow-Gen'!L29</f>
        <v>1035.1514423076922</v>
      </c>
      <c r="N26" s="81">
        <f>+'Monthly Historical Flow-Gen'!M29</f>
        <v>949.99759615384608</v>
      </c>
      <c r="O26" s="86">
        <f>+A26</f>
        <v>1991</v>
      </c>
      <c r="P26" s="188"/>
      <c r="Q26" s="62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55"/>
    </row>
    <row r="27" spans="1:33" ht="15" customHeight="1" x14ac:dyDescent="0.35">
      <c r="A27" s="124"/>
      <c r="B27" s="48" t="s">
        <v>43</v>
      </c>
      <c r="C27" s="47">
        <f>IF(C26&gt;$O27,$O27,C26)</f>
        <v>839.65240384615379</v>
      </c>
      <c r="D27" s="46">
        <f t="shared" ref="D27:N27" si="7">IF(D26&gt;$O27,$O27,D26)</f>
        <v>927.14285714285722</v>
      </c>
      <c r="E27" s="46">
        <f t="shared" si="7"/>
        <v>927.14285714285722</v>
      </c>
      <c r="F27" s="46">
        <f t="shared" si="7"/>
        <v>908.30769230769226</v>
      </c>
      <c r="G27" s="46">
        <f t="shared" si="7"/>
        <v>764.43317307692303</v>
      </c>
      <c r="H27" s="46">
        <f t="shared" si="7"/>
        <v>256.43725961538462</v>
      </c>
      <c r="I27" s="46">
        <f t="shared" si="7"/>
        <v>158.95384615384614</v>
      </c>
      <c r="J27" s="46">
        <f t="shared" si="7"/>
        <v>473.13605769230765</v>
      </c>
      <c r="K27" s="46">
        <f t="shared" si="7"/>
        <v>483.07067307692307</v>
      </c>
      <c r="L27" s="46">
        <f t="shared" si="7"/>
        <v>527.59903846153838</v>
      </c>
      <c r="M27" s="46">
        <f t="shared" si="7"/>
        <v>927.14285714285722</v>
      </c>
      <c r="N27" s="45">
        <f t="shared" si="7"/>
        <v>927.14285714285722</v>
      </c>
      <c r="O27" s="185">
        <f>IF(P27="Pre",'cfs limit calculation'!$E$6,'cfs limit calculation'!$E$11)</f>
        <v>927.14285714285722</v>
      </c>
      <c r="P27" s="190" t="str">
        <f>+Calculations!P27</f>
        <v>Pre</v>
      </c>
      <c r="Q27" s="62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55"/>
    </row>
    <row r="28" spans="1:33" ht="15" customHeight="1" x14ac:dyDescent="0.35">
      <c r="A28" s="85"/>
      <c r="B28" s="8" t="s">
        <v>44</v>
      </c>
      <c r="C28" s="47">
        <f>+'Monthly Historical Flow-Gen'!B55</f>
        <v>511.7</v>
      </c>
      <c r="D28" s="46">
        <f>+'Monthly Historical Flow-Gen'!C55</f>
        <v>872.2</v>
      </c>
      <c r="E28" s="46">
        <f>+'Monthly Historical Flow-Gen'!D55</f>
        <v>651</v>
      </c>
      <c r="F28" s="46">
        <f>+'Monthly Historical Flow-Gen'!E55</f>
        <v>553.70000000000005</v>
      </c>
      <c r="G28" s="46">
        <f>+'Monthly Historical Flow-Gen'!F55</f>
        <v>504.7</v>
      </c>
      <c r="H28" s="46">
        <f>+'Monthly Historical Flow-Gen'!G55</f>
        <v>28</v>
      </c>
      <c r="I28" s="46">
        <f>+'Monthly Historical Flow-Gen'!H55</f>
        <v>7</v>
      </c>
      <c r="J28" s="46">
        <f>+'Monthly Historical Flow-Gen'!I55</f>
        <v>56</v>
      </c>
      <c r="K28" s="46">
        <f>+'Monthly Historical Flow-Gen'!J55</f>
        <v>225.4</v>
      </c>
      <c r="L28" s="46">
        <f>+'Monthly Historical Flow-Gen'!K55</f>
        <v>355.6</v>
      </c>
      <c r="M28" s="46">
        <f>+'Monthly Historical Flow-Gen'!L55</f>
        <v>358.4</v>
      </c>
      <c r="N28" s="45">
        <f>+'Monthly Historical Flow-Gen'!M55</f>
        <v>630</v>
      </c>
      <c r="O28" s="85"/>
      <c r="P28" s="189"/>
      <c r="Q28" s="62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55"/>
    </row>
    <row r="29" spans="1:33" ht="15" customHeight="1" x14ac:dyDescent="0.35">
      <c r="B29" s="22" t="s">
        <v>67</v>
      </c>
      <c r="C29" s="47">
        <f>IF($P27="Pre",IF('cfs limit calculation'!B$17&gt;'Calculations - Outliers Removed'!C28,'Calculations - Outliers Removed'!C28,'cfs limit calculation'!B$17),IF('cfs limit calculation'!B$19&gt;'Calculations - Outliers Removed'!C28,'Calculations - Outliers Removed'!C28,'cfs limit calculation'!B$19))</f>
        <v>511.7</v>
      </c>
      <c r="D29" s="46">
        <f>IF($P27="Pre",IF('cfs limit calculation'!C$17&gt;'Calculations - Outliers Removed'!D28,'Calculations - Outliers Removed'!D28,'cfs limit calculation'!C$17),IF('cfs limit calculation'!C$19&gt;'Calculations - Outliers Removed'!D28,'Calculations - Outliers Removed'!D28,'cfs limit calculation'!C$19))</f>
        <v>522.05999999999995</v>
      </c>
      <c r="E29" s="46">
        <f>IF($P27="Pre",IF('cfs limit calculation'!D$17&gt;'Calculations - Outliers Removed'!E28,'Calculations - Outliers Removed'!E28,'cfs limit calculation'!D$17),IF('cfs limit calculation'!D$19&gt;'Calculations - Outliers Removed'!E28,'Calculations - Outliers Removed'!E28,'cfs limit calculation'!D$19))</f>
        <v>572.88</v>
      </c>
      <c r="F29" s="46">
        <f>IF($P27="Pre",IF('cfs limit calculation'!E$17&gt;'Calculations - Outliers Removed'!F28,'Calculations - Outliers Removed'!F28,'cfs limit calculation'!E$17),IF('cfs limit calculation'!E$19&gt;'Calculations - Outliers Removed'!F28,'Calculations - Outliers Removed'!F28,'cfs limit calculation'!E$19))</f>
        <v>553.70000000000005</v>
      </c>
      <c r="G29" s="46">
        <f>IF($P27="Pre",IF('cfs limit calculation'!F$17&gt;'Calculations - Outliers Removed'!G28,'Calculations - Outliers Removed'!G28,'cfs limit calculation'!F$17),IF('cfs limit calculation'!F$19&gt;'Calculations - Outliers Removed'!G28,'Calculations - Outliers Removed'!G28,'cfs limit calculation'!F$19))</f>
        <v>504.7</v>
      </c>
      <c r="H29" s="46">
        <f>IF($P27="Pre",IF('cfs limit calculation'!G$17&gt;'Calculations - Outliers Removed'!H28,'Calculations - Outliers Removed'!H28,'cfs limit calculation'!G$17),IF('cfs limit calculation'!G$19&gt;'Calculations - Outliers Removed'!H28,'Calculations - Outliers Removed'!H28,'cfs limit calculation'!G$19))</f>
        <v>28</v>
      </c>
      <c r="I29" s="46">
        <f>IF($P27="Pre",IF('cfs limit calculation'!H$17&gt;'Calculations - Outliers Removed'!I28,'Calculations - Outliers Removed'!I28,'cfs limit calculation'!H$17),IF('cfs limit calculation'!H$19&gt;'Calculations - Outliers Removed'!I28,'Calculations - Outliers Removed'!I28,'cfs limit calculation'!H$19))</f>
        <v>7</v>
      </c>
      <c r="J29" s="46">
        <f>IF($P27="Pre",IF('cfs limit calculation'!I$17&gt;'Calculations - Outliers Removed'!J28,'Calculations - Outliers Removed'!J28,'cfs limit calculation'!I$17),IF('cfs limit calculation'!I$19&gt;'Calculations - Outliers Removed'!J28,'Calculations - Outliers Removed'!J28,'cfs limit calculation'!I$19))</f>
        <v>56</v>
      </c>
      <c r="K29" s="46">
        <f>IF($P27="Pre",IF('cfs limit calculation'!J$17&gt;'Calculations - Outliers Removed'!K28,'Calculations - Outliers Removed'!K28,'cfs limit calculation'!J$17),IF('cfs limit calculation'!J$19&gt;'Calculations - Outliers Removed'!K28,'Calculations - Outliers Removed'!K28,'cfs limit calculation'!J$19))</f>
        <v>225.4</v>
      </c>
      <c r="L29" s="46">
        <f>IF($P27="Pre",IF('cfs limit calculation'!K$17&gt;'Calculations - Outliers Removed'!L28,'Calculations - Outliers Removed'!L28,'cfs limit calculation'!K$17),IF('cfs limit calculation'!K$19&gt;'Calculations - Outliers Removed'!L28,'Calculations - Outliers Removed'!L28,'cfs limit calculation'!K$19))</f>
        <v>355.6</v>
      </c>
      <c r="M29" s="46">
        <f>IF($P27="Pre",IF('cfs limit calculation'!L$17&gt;'Calculations - Outliers Removed'!M28,'Calculations - Outliers Removed'!M28,'cfs limit calculation'!L$17),IF('cfs limit calculation'!L$19&gt;'Calculations - Outliers Removed'!M28,'Calculations - Outliers Removed'!M28,'cfs limit calculation'!L$19))</f>
        <v>358.4</v>
      </c>
      <c r="N29" s="45">
        <f>IF($P27="Pre",IF('cfs limit calculation'!M$17&gt;'Calculations - Outliers Removed'!N28,'Calculations - Outliers Removed'!N28,'cfs limit calculation'!M$17),IF('cfs limit calculation'!M$19&gt;'Calculations - Outliers Removed'!N28,'Calculations - Outliers Removed'!N28,'cfs limit calculation'!M$19))</f>
        <v>572.88</v>
      </c>
      <c r="O29" s="65"/>
      <c r="P29" s="48"/>
      <c r="Q29" s="62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55"/>
    </row>
    <row r="30" spans="1:33" ht="15" customHeight="1" thickBot="1" x14ac:dyDescent="0.4">
      <c r="A30" s="78"/>
      <c r="B30" s="50" t="s">
        <v>42</v>
      </c>
      <c r="C30" s="265">
        <f t="shared" ref="C30:N30" si="8">+C29/C27</f>
        <v>0.60941884719924744</v>
      </c>
      <c r="D30" s="266">
        <f t="shared" si="8"/>
        <v>0.56308474576271172</v>
      </c>
      <c r="E30" s="266">
        <f t="shared" si="8"/>
        <v>0.61789830508474575</v>
      </c>
      <c r="F30" s="266">
        <f t="shared" si="8"/>
        <v>0.60959518970189708</v>
      </c>
      <c r="G30" s="266">
        <f t="shared" si="8"/>
        <v>0.6602277579981648</v>
      </c>
      <c r="H30" s="266">
        <f t="shared" si="8"/>
        <v>0.10918850108597938</v>
      </c>
      <c r="I30" s="266">
        <f t="shared" si="8"/>
        <v>4.4037940379403798E-2</v>
      </c>
      <c r="J30" s="266">
        <f t="shared" si="8"/>
        <v>0.11835918884123225</v>
      </c>
      <c r="K30" s="266">
        <f t="shared" si="8"/>
        <v>0.46659839349036164</v>
      </c>
      <c r="L30" s="266">
        <f t="shared" si="8"/>
        <v>0.6739966794422485</v>
      </c>
      <c r="M30" s="266">
        <f t="shared" si="8"/>
        <v>0.38656394453004617</v>
      </c>
      <c r="N30" s="267">
        <f t="shared" si="8"/>
        <v>0.61789830508474575</v>
      </c>
      <c r="O30" s="78"/>
      <c r="P30" s="191"/>
      <c r="Q30" s="62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55"/>
    </row>
    <row r="31" spans="1:33" ht="15" customHeight="1" x14ac:dyDescent="0.35">
      <c r="A31" s="85">
        <v>1992</v>
      </c>
      <c r="B31" s="58" t="s">
        <v>45</v>
      </c>
      <c r="C31" s="47">
        <f>+'Monthly Historical Flow-Gen'!B30</f>
        <v>882.051923076923</v>
      </c>
      <c r="D31" s="46">
        <f>+'Monthly Historical Flow-Gen'!C30</f>
        <v>656.03942307692307</v>
      </c>
      <c r="E31" s="46">
        <f>+'Monthly Historical Flow-Gen'!D30</f>
        <v>941.12740384615381</v>
      </c>
      <c r="F31" s="46">
        <f>+'Monthly Historical Flow-Gen'!E30</f>
        <v>965.96394230769226</v>
      </c>
      <c r="G31" s="46">
        <f>+'Monthly Historical Flow-Gen'!F30</f>
        <v>552.16947115384608</v>
      </c>
      <c r="H31" s="46">
        <f>+'Monthly Historical Flow-Gen'!G30</f>
        <v>637.85552884615379</v>
      </c>
      <c r="I31" s="46">
        <f>+'Monthly Historical Flow-Gen'!H30</f>
        <v>217.49711538461537</v>
      </c>
      <c r="J31" s="46">
        <f>+'Monthly Historical Flow-Gen'!I30</f>
        <v>375.12043269230765</v>
      </c>
      <c r="K31" s="46">
        <f>+'Monthly Historical Flow-Gen'!J30</f>
        <v>226.81081730769228</v>
      </c>
      <c r="L31" s="46">
        <f>+'Monthly Historical Flow-Gen'!K30</f>
        <v>240.47091346153846</v>
      </c>
      <c r="M31" s="46">
        <f>+'Monthly Historical Flow-Gen'!L30</f>
        <v>573.99014423076926</v>
      </c>
      <c r="N31" s="45">
        <f>+'Monthly Historical Flow-Gen'!M30</f>
        <v>1366.8966346153845</v>
      </c>
      <c r="O31" s="85">
        <f>+A31</f>
        <v>1992</v>
      </c>
      <c r="P31" s="189"/>
      <c r="Q31" s="62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55"/>
    </row>
    <row r="32" spans="1:33" ht="15" customHeight="1" x14ac:dyDescent="0.35">
      <c r="A32" s="65"/>
      <c r="B32" s="48" t="s">
        <v>43</v>
      </c>
      <c r="C32" s="47">
        <f>IF(C31&gt;$O32,$O32,C31)</f>
        <v>882.051923076923</v>
      </c>
      <c r="D32" s="46">
        <f t="shared" ref="D32:N32" si="9">IF(D31&gt;$O32,$O32,D31)</f>
        <v>656.03942307692307</v>
      </c>
      <c r="E32" s="46">
        <f t="shared" si="9"/>
        <v>927.14285714285722</v>
      </c>
      <c r="F32" s="46">
        <f t="shared" si="9"/>
        <v>927.14285714285722</v>
      </c>
      <c r="G32" s="46">
        <f t="shared" si="9"/>
        <v>552.16947115384608</v>
      </c>
      <c r="H32" s="46">
        <f t="shared" si="9"/>
        <v>637.85552884615379</v>
      </c>
      <c r="I32" s="46">
        <f t="shared" si="9"/>
        <v>217.49711538461537</v>
      </c>
      <c r="J32" s="46">
        <f t="shared" si="9"/>
        <v>375.12043269230765</v>
      </c>
      <c r="K32" s="46">
        <f t="shared" si="9"/>
        <v>226.81081730769228</v>
      </c>
      <c r="L32" s="46">
        <f t="shared" si="9"/>
        <v>240.47091346153846</v>
      </c>
      <c r="M32" s="46">
        <f t="shared" si="9"/>
        <v>573.99014423076926</v>
      </c>
      <c r="N32" s="45">
        <f t="shared" si="9"/>
        <v>927.14285714285722</v>
      </c>
      <c r="O32" s="185">
        <f>IF(P32="Pre",'cfs limit calculation'!$E$6,'cfs limit calculation'!$E$11)</f>
        <v>927.14285714285722</v>
      </c>
      <c r="P32" s="190" t="str">
        <f>+Calculations!P32</f>
        <v>Pre</v>
      </c>
      <c r="Q32" s="62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55"/>
    </row>
    <row r="33" spans="1:33" ht="15" customHeight="1" x14ac:dyDescent="0.35">
      <c r="A33" s="85"/>
      <c r="B33" s="8" t="s">
        <v>44</v>
      </c>
      <c r="C33" s="47">
        <f>+'Monthly Historical Flow-Gen'!B56</f>
        <v>613.9</v>
      </c>
      <c r="D33" s="46">
        <f>+'Monthly Historical Flow-Gen'!C56</f>
        <v>461.3</v>
      </c>
      <c r="E33" s="46">
        <f>+'Monthly Historical Flow-Gen'!D56</f>
        <v>622.29999999999995</v>
      </c>
      <c r="F33" s="46">
        <f>+'Monthly Historical Flow-Gen'!E56</f>
        <v>648.20000000000005</v>
      </c>
      <c r="G33" s="46">
        <f>+'Monthly Historical Flow-Gen'!F56</f>
        <v>440.3</v>
      </c>
      <c r="H33" s="46">
        <f>+'Monthly Historical Flow-Gen'!G56</f>
        <v>427</v>
      </c>
      <c r="I33" s="46">
        <f>+'Monthly Historical Flow-Gen'!H56</f>
        <v>108.5</v>
      </c>
      <c r="J33" s="46">
        <f>+'Monthly Historical Flow-Gen'!I56</f>
        <v>56</v>
      </c>
      <c r="K33" s="46">
        <f>+'Monthly Historical Flow-Gen'!J56</f>
        <v>0.7</v>
      </c>
      <c r="L33" s="46">
        <f>+'Monthly Historical Flow-Gen'!K56</f>
        <v>26.6</v>
      </c>
      <c r="M33" s="46">
        <f>+'Monthly Historical Flow-Gen'!L56</f>
        <v>296.10000000000002</v>
      </c>
      <c r="N33" s="45">
        <f>+'Monthly Historical Flow-Gen'!M56</f>
        <v>523.4</v>
      </c>
      <c r="O33" s="85"/>
      <c r="P33" s="189"/>
      <c r="Q33" s="62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55"/>
    </row>
    <row r="34" spans="1:33" ht="15" customHeight="1" x14ac:dyDescent="0.35">
      <c r="B34" s="22" t="s">
        <v>67</v>
      </c>
      <c r="C34" s="47">
        <f>IF($P32="Pre",IF('cfs limit calculation'!B$17&gt;'Calculations - Outliers Removed'!C33,'Calculations - Outliers Removed'!C33,'cfs limit calculation'!B$17),IF('cfs limit calculation'!B$19&gt;'Calculations - Outliers Removed'!C33,'Calculations - Outliers Removed'!C33,'cfs limit calculation'!B$19))</f>
        <v>572.88</v>
      </c>
      <c r="D34" s="46">
        <f>IF($P32="Pre",IF('cfs limit calculation'!C$17&gt;'Calculations - Outliers Removed'!D33,'Calculations - Outliers Removed'!D33,'cfs limit calculation'!C$17),IF('cfs limit calculation'!C$19&gt;'Calculations - Outliers Removed'!D33,'Calculations - Outliers Removed'!D33,'cfs limit calculation'!C$19))</f>
        <v>461.3</v>
      </c>
      <c r="E34" s="46">
        <f>IF($P32="Pre",IF('cfs limit calculation'!D$17&gt;'Calculations - Outliers Removed'!E33,'Calculations - Outliers Removed'!E33,'cfs limit calculation'!D$17),IF('cfs limit calculation'!D$19&gt;'Calculations - Outliers Removed'!E33,'Calculations - Outliers Removed'!E33,'cfs limit calculation'!D$19))</f>
        <v>572.88</v>
      </c>
      <c r="F34" s="46">
        <f>IF($P32="Pre",IF('cfs limit calculation'!E$17&gt;'Calculations - Outliers Removed'!F33,'Calculations - Outliers Removed'!F33,'cfs limit calculation'!E$17),IF('cfs limit calculation'!E$19&gt;'Calculations - Outliers Removed'!F33,'Calculations - Outliers Removed'!F33,'cfs limit calculation'!E$19))</f>
        <v>554.4</v>
      </c>
      <c r="G34" s="46">
        <f>IF($P32="Pre",IF('cfs limit calculation'!F$17&gt;'Calculations - Outliers Removed'!G33,'Calculations - Outliers Removed'!G33,'cfs limit calculation'!F$17),IF('cfs limit calculation'!F$19&gt;'Calculations - Outliers Removed'!G33,'Calculations - Outliers Removed'!G33,'cfs limit calculation'!F$19))</f>
        <v>440.3</v>
      </c>
      <c r="H34" s="46">
        <f>IF($P32="Pre",IF('cfs limit calculation'!G$17&gt;'Calculations - Outliers Removed'!H33,'Calculations - Outliers Removed'!H33,'cfs limit calculation'!G$17),IF('cfs limit calculation'!G$19&gt;'Calculations - Outliers Removed'!H33,'Calculations - Outliers Removed'!H33,'cfs limit calculation'!G$19))</f>
        <v>427</v>
      </c>
      <c r="I34" s="46">
        <f>IF($P32="Pre",IF('cfs limit calculation'!H$17&gt;'Calculations - Outliers Removed'!I33,'Calculations - Outliers Removed'!I33,'cfs limit calculation'!H$17),IF('cfs limit calculation'!H$19&gt;'Calculations - Outliers Removed'!I33,'Calculations - Outliers Removed'!I33,'cfs limit calculation'!H$19))</f>
        <v>108.5</v>
      </c>
      <c r="J34" s="46">
        <f>IF($P32="Pre",IF('cfs limit calculation'!I$17&gt;'Calculations - Outliers Removed'!J33,'Calculations - Outliers Removed'!J33,'cfs limit calculation'!I$17),IF('cfs limit calculation'!I$19&gt;'Calculations - Outliers Removed'!J33,'Calculations - Outliers Removed'!J33,'cfs limit calculation'!I$19))</f>
        <v>56</v>
      </c>
      <c r="K34" s="46">
        <f>IF($P32="Pre",IF('cfs limit calculation'!J$17&gt;'Calculations - Outliers Removed'!K33,'Calculations - Outliers Removed'!K33,'cfs limit calculation'!J$17),IF('cfs limit calculation'!J$19&gt;'Calculations - Outliers Removed'!K33,'Calculations - Outliers Removed'!K33,'cfs limit calculation'!J$19))</f>
        <v>0.7</v>
      </c>
      <c r="L34" s="46">
        <f>IF($P32="Pre",IF('cfs limit calculation'!K$17&gt;'Calculations - Outliers Removed'!L33,'Calculations - Outliers Removed'!L33,'cfs limit calculation'!K$17),IF('cfs limit calculation'!K$19&gt;'Calculations - Outliers Removed'!L33,'Calculations - Outliers Removed'!L33,'cfs limit calculation'!K$19))</f>
        <v>26.6</v>
      </c>
      <c r="M34" s="46">
        <f>IF($P32="Pre",IF('cfs limit calculation'!L$17&gt;'Calculations - Outliers Removed'!M33,'Calculations - Outliers Removed'!M33,'cfs limit calculation'!L$17),IF('cfs limit calculation'!L$19&gt;'Calculations - Outliers Removed'!M33,'Calculations - Outliers Removed'!M33,'cfs limit calculation'!L$19))</f>
        <v>296.10000000000002</v>
      </c>
      <c r="N34" s="45">
        <f>IF($P32="Pre",IF('cfs limit calculation'!M$17&gt;'Calculations - Outliers Removed'!N33,'Calculations - Outliers Removed'!N33,'cfs limit calculation'!M$17),IF('cfs limit calculation'!M$19&gt;'Calculations - Outliers Removed'!N33,'Calculations - Outliers Removed'!N33,'cfs limit calculation'!M$19))</f>
        <v>523.4</v>
      </c>
      <c r="O34" s="85"/>
      <c r="P34" s="189"/>
      <c r="Q34" s="62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1:33" ht="15" customHeight="1" thickBot="1" x14ac:dyDescent="0.4">
      <c r="A35" s="78"/>
      <c r="B35" s="50" t="s">
        <v>42</v>
      </c>
      <c r="C35" s="265">
        <f t="shared" ref="C35:N35" si="10">+C34/C32</f>
        <v>0.64948557450176281</v>
      </c>
      <c r="D35" s="266">
        <f t="shared" si="10"/>
        <v>0.70315896236301467</v>
      </c>
      <c r="E35" s="266">
        <f t="shared" si="10"/>
        <v>0.61789830508474575</v>
      </c>
      <c r="F35" s="266">
        <f t="shared" si="10"/>
        <v>0.59796610169491515</v>
      </c>
      <c r="G35" s="266">
        <f t="shared" si="10"/>
        <v>0.7974001153666157</v>
      </c>
      <c r="H35" s="266">
        <f t="shared" si="10"/>
        <v>0.66943058528068256</v>
      </c>
      <c r="I35" s="266">
        <f t="shared" si="10"/>
        <v>0.49885719085575853</v>
      </c>
      <c r="J35" s="266">
        <f t="shared" si="10"/>
        <v>0.14928538975623856</v>
      </c>
      <c r="K35" s="266">
        <f t="shared" si="10"/>
        <v>3.0862725522053814E-3</v>
      </c>
      <c r="L35" s="266">
        <f t="shared" si="10"/>
        <v>0.11061628875233792</v>
      </c>
      <c r="M35" s="268">
        <f t="shared" si="10"/>
        <v>0.51586251606605082</v>
      </c>
      <c r="N35" s="267">
        <f t="shared" si="10"/>
        <v>0.56453004622496139</v>
      </c>
      <c r="O35" s="78"/>
      <c r="P35" s="191"/>
      <c r="Q35" s="62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</row>
    <row r="36" spans="1:33" ht="15" customHeight="1" x14ac:dyDescent="0.35">
      <c r="A36" s="85">
        <v>1993</v>
      </c>
      <c r="B36" s="58" t="s">
        <v>45</v>
      </c>
      <c r="C36" s="79">
        <f>+'Monthly Historical Flow-Gen'!B31</f>
        <v>1271.0985576923076</v>
      </c>
      <c r="D36" s="80">
        <f>+'Monthly Historical Flow-Gen'!C31</f>
        <v>799.73653846153843</v>
      </c>
      <c r="E36" s="80">
        <f>+'Monthly Historical Flow-Gen'!D31</f>
        <v>1415.6826923076922</v>
      </c>
      <c r="F36" s="80">
        <f>+'Monthly Historical Flow-Gen'!E31</f>
        <v>2092.4783653846152</v>
      </c>
      <c r="G36" s="80">
        <f>+'Monthly Historical Flow-Gen'!F31</f>
        <v>568.66802884615379</v>
      </c>
      <c r="H36" s="80">
        <f>+'Monthly Historical Flow-Gen'!G31</f>
        <v>243.13197115384617</v>
      </c>
      <c r="I36" s="80">
        <f>+'Monthly Historical Flow-Gen'!H31</f>
        <v>134.47211538461536</v>
      </c>
      <c r="J36" s="80">
        <f>+'Monthly Historical Flow-Gen'!I31</f>
        <v>89.855048076923069</v>
      </c>
      <c r="K36" s="80">
        <f>+'Monthly Historical Flow-Gen'!J31</f>
        <v>181.30673076923077</v>
      </c>
      <c r="L36" s="80">
        <f>+'Monthly Historical Flow-Gen'!K31</f>
        <v>224.1497596153846</v>
      </c>
      <c r="M36" s="80">
        <f>+'Monthly Historical Flow-Gen'!L31</f>
        <v>421.33413461538458</v>
      </c>
      <c r="N36" s="81">
        <f>+'Monthly Historical Flow-Gen'!M31</f>
        <v>1138.0456730769231</v>
      </c>
      <c r="O36" s="85">
        <f>+A36</f>
        <v>1993</v>
      </c>
      <c r="P36" s="189"/>
      <c r="Q36" s="62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1:33" ht="15" customHeight="1" x14ac:dyDescent="0.35">
      <c r="A37" s="65"/>
      <c r="B37" s="48" t="s">
        <v>43</v>
      </c>
      <c r="C37" s="47">
        <f>IF(C36&gt;$O37,$O37,C36)</f>
        <v>927.14285714285722</v>
      </c>
      <c r="D37" s="46">
        <f t="shared" ref="D37:N37" si="11">IF(D36&gt;$O37,$O37,D36)</f>
        <v>799.73653846153843</v>
      </c>
      <c r="E37" s="46">
        <f t="shared" si="11"/>
        <v>927.14285714285722</v>
      </c>
      <c r="F37" s="46">
        <f t="shared" si="11"/>
        <v>927.14285714285722</v>
      </c>
      <c r="G37" s="46">
        <f t="shared" si="11"/>
        <v>568.66802884615379</v>
      </c>
      <c r="H37" s="46">
        <f t="shared" si="11"/>
        <v>243.13197115384617</v>
      </c>
      <c r="I37" s="46">
        <f t="shared" si="11"/>
        <v>134.47211538461536</v>
      </c>
      <c r="J37" s="46">
        <f t="shared" si="11"/>
        <v>89.855048076923069</v>
      </c>
      <c r="K37" s="46">
        <f t="shared" si="11"/>
        <v>181.30673076923077</v>
      </c>
      <c r="L37" s="46">
        <f t="shared" si="11"/>
        <v>224.1497596153846</v>
      </c>
      <c r="M37" s="46">
        <f t="shared" si="11"/>
        <v>421.33413461538458</v>
      </c>
      <c r="N37" s="45">
        <f t="shared" si="11"/>
        <v>927.14285714285722</v>
      </c>
      <c r="O37" s="185">
        <f>IF(P37="Pre",'cfs limit calculation'!$E$6,'cfs limit calculation'!$E$11)</f>
        <v>927.14285714285722</v>
      </c>
      <c r="P37" s="190" t="str">
        <f>+Calculations!P37</f>
        <v>Pre</v>
      </c>
      <c r="Q37" s="62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</row>
    <row r="38" spans="1:33" ht="15" customHeight="1" x14ac:dyDescent="0.35">
      <c r="A38" s="85"/>
      <c r="B38" s="8" t="s">
        <v>44</v>
      </c>
      <c r="C38" s="47">
        <f>+'Monthly Historical Flow-Gen'!B57</f>
        <v>640.5</v>
      </c>
      <c r="D38" s="46">
        <f>+'Monthly Historical Flow-Gen'!C57</f>
        <v>547.4</v>
      </c>
      <c r="E38" s="46">
        <f>+'Monthly Historical Flow-Gen'!D57</f>
        <v>603.4</v>
      </c>
      <c r="F38" s="46">
        <f>+'Monthly Historical Flow-Gen'!E57</f>
        <v>655.20000000000005</v>
      </c>
      <c r="G38" s="46">
        <f>+'Monthly Historical Flow-Gen'!F57</f>
        <v>420.7</v>
      </c>
      <c r="H38" s="46">
        <f>+'Monthly Historical Flow-Gen'!G57</f>
        <v>98.7</v>
      </c>
      <c r="I38" s="46">
        <f>+'Monthly Historical Flow-Gen'!H57</f>
        <v>0.7</v>
      </c>
      <c r="J38" s="46">
        <f>+'Monthly Historical Flow-Gen'!I57</f>
        <v>0</v>
      </c>
      <c r="K38" s="46">
        <f>+'Monthly Historical Flow-Gen'!J57</f>
        <v>42.7</v>
      </c>
      <c r="L38" s="46">
        <f>+'Monthly Historical Flow-Gen'!K57</f>
        <v>108.5</v>
      </c>
      <c r="M38" s="46">
        <f>+'Monthly Historical Flow-Gen'!L57</f>
        <v>252.7</v>
      </c>
      <c r="N38" s="45">
        <f>+'Monthly Historical Flow-Gen'!M57</f>
        <v>536.20000000000005</v>
      </c>
      <c r="O38" s="85"/>
      <c r="P38" s="189"/>
      <c r="Q38" s="62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</row>
    <row r="39" spans="1:33" ht="15" customHeight="1" x14ac:dyDescent="0.35">
      <c r="B39" s="22" t="s">
        <v>67</v>
      </c>
      <c r="C39" s="47">
        <f>IF($P37="Pre",IF('cfs limit calculation'!B$17&gt;'Calculations - Outliers Removed'!C38,'Calculations - Outliers Removed'!C38,'cfs limit calculation'!B$17),IF('cfs limit calculation'!B$19&gt;'Calculations - Outliers Removed'!C38,'Calculations - Outliers Removed'!C38,'cfs limit calculation'!B$19))</f>
        <v>572.88</v>
      </c>
      <c r="D39" s="46">
        <f>IF($P37="Pre",IF('cfs limit calculation'!C$17&gt;'Calculations - Outliers Removed'!D38,'Calculations - Outliers Removed'!D38,'cfs limit calculation'!C$17),IF('cfs limit calculation'!C$19&gt;'Calculations - Outliers Removed'!D38,'Calculations - Outliers Removed'!D38,'cfs limit calculation'!C$19))</f>
        <v>522.05999999999995</v>
      </c>
      <c r="E39" s="46">
        <f>IF($P37="Pre",IF('cfs limit calculation'!D$17&gt;'Calculations - Outliers Removed'!E38,'Calculations - Outliers Removed'!E38,'cfs limit calculation'!D$17),IF('cfs limit calculation'!D$19&gt;'Calculations - Outliers Removed'!E38,'Calculations - Outliers Removed'!E38,'cfs limit calculation'!D$19))</f>
        <v>572.88</v>
      </c>
      <c r="F39" s="46">
        <f>IF($P37="Pre",IF('cfs limit calculation'!E$17&gt;'Calculations - Outliers Removed'!F38,'Calculations - Outliers Removed'!F38,'cfs limit calculation'!E$17),IF('cfs limit calculation'!E$19&gt;'Calculations - Outliers Removed'!F38,'Calculations - Outliers Removed'!F38,'cfs limit calculation'!E$19))</f>
        <v>554.4</v>
      </c>
      <c r="G39" s="46">
        <f>IF($P37="Pre",IF('cfs limit calculation'!F$17&gt;'Calculations - Outliers Removed'!G38,'Calculations - Outliers Removed'!G38,'cfs limit calculation'!F$17),IF('cfs limit calculation'!F$19&gt;'Calculations - Outliers Removed'!G38,'Calculations - Outliers Removed'!G38,'cfs limit calculation'!F$19))</f>
        <v>420.7</v>
      </c>
      <c r="H39" s="46">
        <f>IF($P37="Pre",IF('cfs limit calculation'!G$17&gt;'Calculations - Outliers Removed'!H38,'Calculations - Outliers Removed'!H38,'cfs limit calculation'!G$17),IF('cfs limit calculation'!G$19&gt;'Calculations - Outliers Removed'!H38,'Calculations - Outliers Removed'!H38,'cfs limit calculation'!G$19))</f>
        <v>98.7</v>
      </c>
      <c r="I39" s="46">
        <f>IF($P37="Pre",IF('cfs limit calculation'!H$17&gt;'Calculations - Outliers Removed'!I38,'Calculations - Outliers Removed'!I38,'cfs limit calculation'!H$17),IF('cfs limit calculation'!H$19&gt;'Calculations - Outliers Removed'!I38,'Calculations - Outliers Removed'!I38,'cfs limit calculation'!H$19))</f>
        <v>0.7</v>
      </c>
      <c r="J39" s="46">
        <f>IF($P37="Pre",IF('cfs limit calculation'!I$17&gt;'Calculations - Outliers Removed'!J38,'Calculations - Outliers Removed'!J38,'cfs limit calculation'!I$17),IF('cfs limit calculation'!I$19&gt;'Calculations - Outliers Removed'!J38,'Calculations - Outliers Removed'!J38,'cfs limit calculation'!I$19))</f>
        <v>0</v>
      </c>
      <c r="K39" s="46">
        <f>IF($P37="Pre",IF('cfs limit calculation'!J$17&gt;'Calculations - Outliers Removed'!K38,'Calculations - Outliers Removed'!K38,'cfs limit calculation'!J$17),IF('cfs limit calculation'!J$19&gt;'Calculations - Outliers Removed'!K38,'Calculations - Outliers Removed'!K38,'cfs limit calculation'!J$19))</f>
        <v>42.7</v>
      </c>
      <c r="L39" s="46">
        <f>IF($P37="Pre",IF('cfs limit calculation'!K$17&gt;'Calculations - Outliers Removed'!L38,'Calculations - Outliers Removed'!L38,'cfs limit calculation'!K$17),IF('cfs limit calculation'!K$19&gt;'Calculations - Outliers Removed'!L38,'Calculations - Outliers Removed'!L38,'cfs limit calculation'!K$19))</f>
        <v>108.5</v>
      </c>
      <c r="M39" s="46">
        <f>IF($P37="Pre",IF('cfs limit calculation'!L$17&gt;'Calculations - Outliers Removed'!M38,'Calculations - Outliers Removed'!M38,'cfs limit calculation'!L$17),IF('cfs limit calculation'!L$19&gt;'Calculations - Outliers Removed'!M38,'Calculations - Outliers Removed'!M38,'cfs limit calculation'!L$19))</f>
        <v>252.7</v>
      </c>
      <c r="N39" s="45">
        <f>IF($P37="Pre",IF('cfs limit calculation'!M$17&gt;'Calculations - Outliers Removed'!N38,'Calculations - Outliers Removed'!N38,'cfs limit calculation'!M$17),IF('cfs limit calculation'!M$19&gt;'Calculations - Outliers Removed'!N38,'Calculations - Outliers Removed'!N38,'cfs limit calculation'!M$19))</f>
        <v>536.20000000000005</v>
      </c>
      <c r="O39" s="85"/>
      <c r="P39" s="189"/>
      <c r="Q39" s="62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1:33" ht="15" customHeight="1" thickBot="1" x14ac:dyDescent="0.4">
      <c r="A40" s="78"/>
      <c r="B40" s="50" t="s">
        <v>42</v>
      </c>
      <c r="C40" s="265">
        <f t="shared" ref="C40:N40" si="12">+C39/C37</f>
        <v>0.61789830508474575</v>
      </c>
      <c r="D40" s="268">
        <f t="shared" si="12"/>
        <v>0.65278998131596222</v>
      </c>
      <c r="E40" s="266">
        <f t="shared" si="12"/>
        <v>0.61789830508474575</v>
      </c>
      <c r="F40" s="268">
        <f t="shared" si="12"/>
        <v>0.59796610169491515</v>
      </c>
      <c r="G40" s="266">
        <f t="shared" si="12"/>
        <v>0.73979893129144991</v>
      </c>
      <c r="H40" s="266">
        <f t="shared" si="12"/>
        <v>0.40595237035916509</v>
      </c>
      <c r="I40" s="266">
        <f t="shared" si="12"/>
        <v>5.2055401820508976E-3</v>
      </c>
      <c r="J40" s="266">
        <f t="shared" si="12"/>
        <v>0</v>
      </c>
      <c r="K40" s="266">
        <f t="shared" si="12"/>
        <v>0.23551249211122249</v>
      </c>
      <c r="L40" s="266">
        <f t="shared" si="12"/>
        <v>0.48405137790990105</v>
      </c>
      <c r="M40" s="266">
        <f t="shared" si="12"/>
        <v>0.59976151761517615</v>
      </c>
      <c r="N40" s="267">
        <f t="shared" si="12"/>
        <v>0.57833590138674884</v>
      </c>
      <c r="O40" s="78"/>
      <c r="P40" s="191"/>
      <c r="Q40" s="62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</row>
    <row r="41" spans="1:33" ht="15" customHeight="1" x14ac:dyDescent="0.35">
      <c r="A41" s="86">
        <v>1994</v>
      </c>
      <c r="B41" s="58" t="s">
        <v>45</v>
      </c>
      <c r="C41" s="75">
        <f>+'Monthly Historical Flow-Gen'!B32</f>
        <v>895.88942307692298</v>
      </c>
      <c r="D41" s="31">
        <f>+'Monthly Historical Flow-Gen'!C32</f>
        <v>863.15841346153843</v>
      </c>
      <c r="E41" s="31">
        <f>+'Monthly Historical Flow-Gen'!D32</f>
        <v>2137.7163461538462</v>
      </c>
      <c r="F41" s="31">
        <f>+'Monthly Historical Flow-Gen'!E32</f>
        <v>1305.6923076923076</v>
      </c>
      <c r="G41" s="31">
        <f>+'Monthly Historical Flow-Gen'!F32</f>
        <v>791.57596153846146</v>
      </c>
      <c r="H41" s="31">
        <f>+'Monthly Historical Flow-Gen'!G32</f>
        <v>269.03293269230767</v>
      </c>
      <c r="I41" s="31">
        <f>+'Monthly Historical Flow-Gen'!H32</f>
        <v>178.46826923076921</v>
      </c>
      <c r="J41" s="31">
        <f>+'Monthly Historical Flow-Gen'!I32</f>
        <v>350.54999999999995</v>
      </c>
      <c r="K41" s="31">
        <f>+'Monthly Historical Flow-Gen'!J32</f>
        <v>322.25408653846154</v>
      </c>
      <c r="L41" s="31">
        <f>+'Monthly Historical Flow-Gen'!K32</f>
        <v>273.29062500000003</v>
      </c>
      <c r="M41" s="31">
        <f>+'Monthly Historical Flow-Gen'!L32</f>
        <v>509.59254807692304</v>
      </c>
      <c r="N41" s="36">
        <f>+'Monthly Historical Flow-Gen'!M32</f>
        <v>1134.4975961538462</v>
      </c>
      <c r="O41" s="86">
        <f>+A41</f>
        <v>1994</v>
      </c>
      <c r="P41" s="188"/>
      <c r="Q41" s="62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1:33" ht="15" customHeight="1" x14ac:dyDescent="0.35">
      <c r="A42" s="124"/>
      <c r="B42" s="48" t="s">
        <v>43</v>
      </c>
      <c r="C42" s="47">
        <f>IF(C41&gt;$O42,$O42,C41)</f>
        <v>895.88942307692298</v>
      </c>
      <c r="D42" s="46">
        <f t="shared" ref="D42:N42" si="13">IF(D41&gt;$O42,$O42,D41)</f>
        <v>863.15841346153843</v>
      </c>
      <c r="E42" s="46">
        <f t="shared" si="13"/>
        <v>927.14285714285722</v>
      </c>
      <c r="F42" s="46">
        <f t="shared" si="13"/>
        <v>927.14285714285722</v>
      </c>
      <c r="G42" s="46">
        <f t="shared" si="13"/>
        <v>791.57596153846146</v>
      </c>
      <c r="H42" s="46">
        <f t="shared" si="13"/>
        <v>269.03293269230767</v>
      </c>
      <c r="I42" s="46">
        <f t="shared" si="13"/>
        <v>178.46826923076921</v>
      </c>
      <c r="J42" s="46">
        <f t="shared" si="13"/>
        <v>350.54999999999995</v>
      </c>
      <c r="K42" s="46">
        <f t="shared" si="13"/>
        <v>322.25408653846154</v>
      </c>
      <c r="L42" s="46">
        <f t="shared" si="13"/>
        <v>273.29062500000003</v>
      </c>
      <c r="M42" s="46">
        <f t="shared" si="13"/>
        <v>509.59254807692304</v>
      </c>
      <c r="N42" s="45">
        <f t="shared" si="13"/>
        <v>927.14285714285722</v>
      </c>
      <c r="O42" s="185">
        <f>IF(P42="Pre",'cfs limit calculation'!$E$6,'cfs limit calculation'!$E$11)</f>
        <v>927.14285714285722</v>
      </c>
      <c r="P42" s="190" t="str">
        <f>+Calculations!P42</f>
        <v>Pre</v>
      </c>
      <c r="Q42" s="62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</row>
    <row r="43" spans="1:33" ht="15" customHeight="1" x14ac:dyDescent="0.35">
      <c r="A43" s="85"/>
      <c r="B43" s="8" t="s">
        <v>44</v>
      </c>
      <c r="C43" s="47">
        <f>+'Monthly Historical Flow-Gen'!B58</f>
        <v>437.5</v>
      </c>
      <c r="D43" s="46">
        <f>+'Monthly Historical Flow-Gen'!C58</f>
        <v>424.2</v>
      </c>
      <c r="E43" s="46">
        <f>+'Monthly Historical Flow-Gen'!D58</f>
        <v>661.5</v>
      </c>
      <c r="F43" s="46">
        <f>+'Monthly Historical Flow-Gen'!E58</f>
        <v>645.4</v>
      </c>
      <c r="G43" s="46">
        <f>+'Monthly Historical Flow-Gen'!F58</f>
        <v>560</v>
      </c>
      <c r="H43" s="46">
        <f>+'Monthly Historical Flow-Gen'!G58</f>
        <v>133.69999999999999</v>
      </c>
      <c r="I43" s="46">
        <f>+'Monthly Historical Flow-Gen'!H58</f>
        <v>77.7</v>
      </c>
      <c r="J43" s="46">
        <f>+'Monthly Historical Flow-Gen'!I58</f>
        <v>4.2</v>
      </c>
      <c r="K43" s="46">
        <f>+'Monthly Historical Flow-Gen'!J58</f>
        <v>95.9</v>
      </c>
      <c r="L43" s="46">
        <f>+'Monthly Historical Flow-Gen'!K58</f>
        <v>107.1</v>
      </c>
      <c r="M43" s="46">
        <f>+'Monthly Historical Flow-Gen'!L58</f>
        <v>182.7</v>
      </c>
      <c r="N43" s="45">
        <f>+'Monthly Historical Flow-Gen'!M58</f>
        <v>314.3</v>
      </c>
      <c r="O43" s="85"/>
      <c r="P43" s="189"/>
      <c r="Q43" s="62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</row>
    <row r="44" spans="1:33" ht="15" customHeight="1" x14ac:dyDescent="0.35">
      <c r="B44" s="22" t="s">
        <v>67</v>
      </c>
      <c r="C44" s="47">
        <f>IF($P42="Pre",IF('cfs limit calculation'!B$17&gt;'Calculations - Outliers Removed'!C43,'Calculations - Outliers Removed'!C43,'cfs limit calculation'!B$17),IF('cfs limit calculation'!B$19&gt;'Calculations - Outliers Removed'!C43,'Calculations - Outliers Removed'!C43,'cfs limit calculation'!B$19))</f>
        <v>437.5</v>
      </c>
      <c r="D44" s="46">
        <f>IF($P42="Pre",IF('cfs limit calculation'!C$17&gt;'Calculations - Outliers Removed'!D43,'Calculations - Outliers Removed'!D43,'cfs limit calculation'!C$17),IF('cfs limit calculation'!C$19&gt;'Calculations - Outliers Removed'!D43,'Calculations - Outliers Removed'!D43,'cfs limit calculation'!C$19))</f>
        <v>424.2</v>
      </c>
      <c r="E44" s="46">
        <f>IF($P42="Pre",IF('cfs limit calculation'!D$17&gt;'Calculations - Outliers Removed'!E43,'Calculations - Outliers Removed'!E43,'cfs limit calculation'!D$17),IF('cfs limit calculation'!D$19&gt;'Calculations - Outliers Removed'!E43,'Calculations - Outliers Removed'!E43,'cfs limit calculation'!D$19))</f>
        <v>572.88</v>
      </c>
      <c r="F44" s="46">
        <f>IF($P42="Pre",IF('cfs limit calculation'!E$17&gt;'Calculations - Outliers Removed'!F43,'Calculations - Outliers Removed'!F43,'cfs limit calculation'!E$17),IF('cfs limit calculation'!E$19&gt;'Calculations - Outliers Removed'!F43,'Calculations - Outliers Removed'!F43,'cfs limit calculation'!E$19))</f>
        <v>554.4</v>
      </c>
      <c r="G44" s="46">
        <f>IF($P42="Pre",IF('cfs limit calculation'!F$17&gt;'Calculations - Outliers Removed'!G43,'Calculations - Outliers Removed'!G43,'cfs limit calculation'!F$17),IF('cfs limit calculation'!F$19&gt;'Calculations - Outliers Removed'!G43,'Calculations - Outliers Removed'!G43,'cfs limit calculation'!F$19))</f>
        <v>560</v>
      </c>
      <c r="H44" s="46">
        <f>IF($P42="Pre",IF('cfs limit calculation'!G$17&gt;'Calculations - Outliers Removed'!H43,'Calculations - Outliers Removed'!H43,'cfs limit calculation'!G$17),IF('cfs limit calculation'!G$19&gt;'Calculations - Outliers Removed'!H43,'Calculations - Outliers Removed'!H43,'cfs limit calculation'!G$19))</f>
        <v>133.69999999999999</v>
      </c>
      <c r="I44" s="46">
        <f>IF($P42="Pre",IF('cfs limit calculation'!H$17&gt;'Calculations - Outliers Removed'!I43,'Calculations - Outliers Removed'!I43,'cfs limit calculation'!H$17),IF('cfs limit calculation'!H$19&gt;'Calculations - Outliers Removed'!I43,'Calculations - Outliers Removed'!I43,'cfs limit calculation'!H$19))</f>
        <v>77.7</v>
      </c>
      <c r="J44" s="46">
        <f>IF($P42="Pre",IF('cfs limit calculation'!I$17&gt;'Calculations - Outliers Removed'!J43,'Calculations - Outliers Removed'!J43,'cfs limit calculation'!I$17),IF('cfs limit calculation'!I$19&gt;'Calculations - Outliers Removed'!J43,'Calculations - Outliers Removed'!J43,'cfs limit calculation'!I$19))</f>
        <v>4.2</v>
      </c>
      <c r="K44" s="46">
        <f>IF($P42="Pre",IF('cfs limit calculation'!J$17&gt;'Calculations - Outliers Removed'!K43,'Calculations - Outliers Removed'!K43,'cfs limit calculation'!J$17),IF('cfs limit calculation'!J$19&gt;'Calculations - Outliers Removed'!K43,'Calculations - Outliers Removed'!K43,'cfs limit calculation'!J$19))</f>
        <v>95.9</v>
      </c>
      <c r="L44" s="46">
        <f>IF($P42="Pre",IF('cfs limit calculation'!K$17&gt;'Calculations - Outliers Removed'!L43,'Calculations - Outliers Removed'!L43,'cfs limit calculation'!K$17),IF('cfs limit calculation'!K$19&gt;'Calculations - Outliers Removed'!L43,'Calculations - Outliers Removed'!L43,'cfs limit calculation'!K$19))</f>
        <v>107.1</v>
      </c>
      <c r="M44" s="46">
        <f>IF($P42="Pre",IF('cfs limit calculation'!L$17&gt;'Calculations - Outliers Removed'!M43,'Calculations - Outliers Removed'!M43,'cfs limit calculation'!L$17),IF('cfs limit calculation'!L$19&gt;'Calculations - Outliers Removed'!M43,'Calculations - Outliers Removed'!M43,'cfs limit calculation'!L$19))</f>
        <v>182.7</v>
      </c>
      <c r="N44" s="45">
        <f>IF($P42="Pre",IF('cfs limit calculation'!M$17&gt;'Calculations - Outliers Removed'!N43,'Calculations - Outliers Removed'!N43,'cfs limit calculation'!M$17),IF('cfs limit calculation'!M$19&gt;'Calculations - Outliers Removed'!N43,'Calculations - Outliers Removed'!N43,'cfs limit calculation'!M$19))</f>
        <v>314.3</v>
      </c>
      <c r="O44" s="65"/>
      <c r="P44" s="48"/>
      <c r="Q44" s="62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33" ht="15" customHeight="1" thickBot="1" x14ac:dyDescent="0.4">
      <c r="A45" s="78"/>
      <c r="B45" s="50" t="s">
        <v>42</v>
      </c>
      <c r="C45" s="265">
        <f t="shared" ref="C45:N45" si="14">+C44/C42</f>
        <v>0.48834151707853718</v>
      </c>
      <c r="D45" s="266">
        <f t="shared" si="14"/>
        <v>0.49145092416909164</v>
      </c>
      <c r="E45" s="266">
        <f t="shared" si="14"/>
        <v>0.61789830508474575</v>
      </c>
      <c r="F45" s="266">
        <f t="shared" si="14"/>
        <v>0.59796610169491515</v>
      </c>
      <c r="G45" s="266">
        <f t="shared" si="14"/>
        <v>0.70744947700485528</v>
      </c>
      <c r="H45" s="266">
        <f t="shared" si="14"/>
        <v>0.4969651806640058</v>
      </c>
      <c r="I45" s="266">
        <f t="shared" si="14"/>
        <v>0.43537151077276187</v>
      </c>
      <c r="J45" s="266">
        <f t="shared" si="14"/>
        <v>1.1981172443303382E-2</v>
      </c>
      <c r="K45" s="266">
        <f t="shared" si="14"/>
        <v>0.29759126107638728</v>
      </c>
      <c r="L45" s="266">
        <f t="shared" si="14"/>
        <v>0.39189050118349278</v>
      </c>
      <c r="M45" s="266">
        <f t="shared" si="14"/>
        <v>0.35852172620942918</v>
      </c>
      <c r="N45" s="267">
        <f t="shared" si="14"/>
        <v>0.33899845916795068</v>
      </c>
      <c r="O45" s="78"/>
      <c r="P45" s="191"/>
      <c r="Q45" s="62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33" ht="15" customHeight="1" x14ac:dyDescent="0.35">
      <c r="A46" s="86">
        <v>1995</v>
      </c>
      <c r="B46" s="58" t="s">
        <v>45</v>
      </c>
      <c r="C46" s="47">
        <f>+'Monthly Historical Flow-Gen'!B33</f>
        <v>1264.0024038461538</v>
      </c>
      <c r="D46" s="80">
        <f>+'Monthly Historical Flow-Gen'!C33</f>
        <v>734.45192307692309</v>
      </c>
      <c r="E46" s="80">
        <f>+'Monthly Historical Flow-Gen'!D33</f>
        <v>998.78365384615381</v>
      </c>
      <c r="F46" s="80">
        <f>+'Monthly Historical Flow-Gen'!E33</f>
        <v>571.32908653846152</v>
      </c>
      <c r="G46" s="80">
        <f>+'Monthly Historical Flow-Gen'!F33</f>
        <v>455.57307692307694</v>
      </c>
      <c r="H46" s="80">
        <f>+'Monthly Historical Flow-Gen'!G33</f>
        <v>213.94903846153844</v>
      </c>
      <c r="I46" s="80">
        <f>+'Monthly Historical Flow-Gen'!H33</f>
        <v>128.08557692307693</v>
      </c>
      <c r="J46" s="80">
        <f>+'Monthly Historical Flow-Gen'!I33</f>
        <v>112.47403846153846</v>
      </c>
      <c r="K46" s="80">
        <f>+'Monthly Historical Flow-Gen'!J33</f>
        <v>94.290144230769229</v>
      </c>
      <c r="L46" s="80">
        <f>+'Monthly Historical Flow-Gen'!K33</f>
        <v>449.63004807692306</v>
      </c>
      <c r="M46" s="80">
        <f>+'Monthly Historical Flow-Gen'!L33</f>
        <v>967.73798076923072</v>
      </c>
      <c r="N46" s="81">
        <f>+'Monthly Historical Flow-Gen'!M33</f>
        <v>474.46658653846151</v>
      </c>
      <c r="O46" s="85">
        <f>+A46</f>
        <v>1995</v>
      </c>
      <c r="P46" s="189"/>
      <c r="Q46" s="62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</row>
    <row r="47" spans="1:33" ht="15" customHeight="1" x14ac:dyDescent="0.35">
      <c r="A47" s="124"/>
      <c r="B47" s="48" t="s">
        <v>43</v>
      </c>
      <c r="C47" s="47">
        <f>IF(C46&gt;$O47,$O47,C46)</f>
        <v>927.14285714285722</v>
      </c>
      <c r="D47" s="46">
        <f t="shared" ref="D47:N47" si="15">IF(D46&gt;$O47,$O47,D46)</f>
        <v>734.45192307692309</v>
      </c>
      <c r="E47" s="46">
        <f t="shared" si="15"/>
        <v>927.14285714285722</v>
      </c>
      <c r="F47" s="46">
        <f t="shared" si="15"/>
        <v>571.32908653846152</v>
      </c>
      <c r="G47" s="46">
        <f t="shared" si="15"/>
        <v>455.57307692307694</v>
      </c>
      <c r="H47" s="46">
        <f t="shared" si="15"/>
        <v>213.94903846153844</v>
      </c>
      <c r="I47" s="46">
        <f t="shared" si="15"/>
        <v>128.08557692307693</v>
      </c>
      <c r="J47" s="46">
        <f t="shared" si="15"/>
        <v>112.47403846153846</v>
      </c>
      <c r="K47" s="46">
        <f t="shared" si="15"/>
        <v>94.290144230769229</v>
      </c>
      <c r="L47" s="46">
        <f t="shared" si="15"/>
        <v>449.63004807692306</v>
      </c>
      <c r="M47" s="46">
        <f t="shared" si="15"/>
        <v>927.14285714285722</v>
      </c>
      <c r="N47" s="45">
        <f t="shared" si="15"/>
        <v>474.46658653846151</v>
      </c>
      <c r="O47" s="185">
        <f>IF(P47="Pre",'cfs limit calculation'!$E$6,'cfs limit calculation'!$E$11)</f>
        <v>927.14285714285722</v>
      </c>
      <c r="P47" s="190" t="str">
        <f>+Calculations!P47</f>
        <v>Pre</v>
      </c>
      <c r="Q47" s="62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</row>
    <row r="48" spans="1:33" ht="15" customHeight="1" x14ac:dyDescent="0.35">
      <c r="A48" s="85"/>
      <c r="B48" s="8" t="s">
        <v>44</v>
      </c>
      <c r="C48" s="47">
        <f>+'Monthly Historical Flow-Gen'!B59</f>
        <v>879.73401045856804</v>
      </c>
      <c r="D48" s="46">
        <f>+'Monthly Historical Flow-Gen'!C59</f>
        <v>516.43645213628986</v>
      </c>
      <c r="E48" s="46">
        <f>+'Monthly Historical Flow-Gen'!D59</f>
        <v>660.42393967954752</v>
      </c>
      <c r="F48" s="46">
        <f>+'Monthly Historical Flow-Gen'!E59</f>
        <v>383.38440771349866</v>
      </c>
      <c r="G48" s="46">
        <f>+'Monthly Historical Flow-Gen'!F59</f>
        <v>363.27402409638563</v>
      </c>
      <c r="H48" s="46">
        <f>+'Monthly Historical Flow-Gen'!G59</f>
        <v>143.22403003754692</v>
      </c>
      <c r="I48" s="46">
        <f>+'Monthly Historical Flow-Gen'!H59</f>
        <v>63.896411092985325</v>
      </c>
      <c r="J48" s="46">
        <f>+'Monthly Historical Flow-Gen'!I59</f>
        <v>16.790730669188935</v>
      </c>
      <c r="K48" s="46">
        <f>+'Monthly Historical Flow-Gen'!J59</f>
        <v>0.29100508408290965</v>
      </c>
      <c r="L48" s="46">
        <f>+'Monthly Historical Flow-Gen'!K59</f>
        <v>49.736407229804506</v>
      </c>
      <c r="M48" s="46">
        <f>+'Monthly Historical Flow-Gen'!L59</f>
        <v>499.21974965229487</v>
      </c>
      <c r="N48" s="45">
        <f>+'Monthly Historical Flow-Gen'!M59</f>
        <v>181.67855937702791</v>
      </c>
      <c r="O48" s="85"/>
      <c r="P48" s="189"/>
      <c r="Q48" s="62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</row>
    <row r="49" spans="1:33" ht="15" customHeight="1" x14ac:dyDescent="0.35">
      <c r="B49" s="22" t="s">
        <v>67</v>
      </c>
      <c r="C49" s="47">
        <f>IF($P47="Pre",IF('cfs limit calculation'!B$17&gt;'Calculations - Outliers Removed'!C48,'Calculations - Outliers Removed'!C48,'cfs limit calculation'!B$17),IF('cfs limit calculation'!B$19&gt;'Calculations - Outliers Removed'!C48,'Calculations - Outliers Removed'!C48,'cfs limit calculation'!B$19))</f>
        <v>572.88</v>
      </c>
      <c r="D49" s="46">
        <f>IF($P47="Pre",IF('cfs limit calculation'!C$17&gt;'Calculations - Outliers Removed'!D48,'Calculations - Outliers Removed'!D48,'cfs limit calculation'!C$17),IF('cfs limit calculation'!C$19&gt;'Calculations - Outliers Removed'!D48,'Calculations - Outliers Removed'!D48,'cfs limit calculation'!C$19))</f>
        <v>516.43645213628986</v>
      </c>
      <c r="E49" s="46">
        <f>IF($P47="Pre",IF('cfs limit calculation'!D$17&gt;'Calculations - Outliers Removed'!E48,'Calculations - Outliers Removed'!E48,'cfs limit calculation'!D$17),IF('cfs limit calculation'!D$19&gt;'Calculations - Outliers Removed'!E48,'Calculations - Outliers Removed'!E48,'cfs limit calculation'!D$19))</f>
        <v>572.88</v>
      </c>
      <c r="F49" s="46">
        <f>IF($P47="Pre",IF('cfs limit calculation'!E$17&gt;'Calculations - Outliers Removed'!F48,'Calculations - Outliers Removed'!F48,'cfs limit calculation'!E$17),IF('cfs limit calculation'!E$19&gt;'Calculations - Outliers Removed'!F48,'Calculations - Outliers Removed'!F48,'cfs limit calculation'!E$19))</f>
        <v>383.38440771349866</v>
      </c>
      <c r="G49" s="46">
        <f>IF($P47="Pre",IF('cfs limit calculation'!F$17&gt;'Calculations - Outliers Removed'!G48,'Calculations - Outliers Removed'!G48,'cfs limit calculation'!F$17),IF('cfs limit calculation'!F$19&gt;'Calculations - Outliers Removed'!G48,'Calculations - Outliers Removed'!G48,'cfs limit calculation'!F$19))</f>
        <v>363.27402409638563</v>
      </c>
      <c r="H49" s="46">
        <f>IF($P47="Pre",IF('cfs limit calculation'!G$17&gt;'Calculations - Outliers Removed'!H48,'Calculations - Outliers Removed'!H48,'cfs limit calculation'!G$17),IF('cfs limit calculation'!G$19&gt;'Calculations - Outliers Removed'!H48,'Calculations - Outliers Removed'!H48,'cfs limit calculation'!G$19))</f>
        <v>143.22403003754692</v>
      </c>
      <c r="I49" s="46">
        <f>IF($P47="Pre",IF('cfs limit calculation'!H$17&gt;'Calculations - Outliers Removed'!I48,'Calculations - Outliers Removed'!I48,'cfs limit calculation'!H$17),IF('cfs limit calculation'!H$19&gt;'Calculations - Outliers Removed'!I48,'Calculations - Outliers Removed'!I48,'cfs limit calculation'!H$19))</f>
        <v>63.896411092985325</v>
      </c>
      <c r="J49" s="46">
        <f>IF($P47="Pre",IF('cfs limit calculation'!I$17&gt;'Calculations - Outliers Removed'!J48,'Calculations - Outliers Removed'!J48,'cfs limit calculation'!I$17),IF('cfs limit calculation'!I$19&gt;'Calculations - Outliers Removed'!J48,'Calculations - Outliers Removed'!J48,'cfs limit calculation'!I$19))</f>
        <v>16.790730669188935</v>
      </c>
      <c r="K49" s="46">
        <f>IF($P47="Pre",IF('cfs limit calculation'!J$17&gt;'Calculations - Outliers Removed'!K48,'Calculations - Outliers Removed'!K48,'cfs limit calculation'!J$17),IF('cfs limit calculation'!J$19&gt;'Calculations - Outliers Removed'!K48,'Calculations - Outliers Removed'!K48,'cfs limit calculation'!J$19))</f>
        <v>0.29100508408290965</v>
      </c>
      <c r="L49" s="46">
        <f>IF($P47="Pre",IF('cfs limit calculation'!K$17&gt;'Calculations - Outliers Removed'!L48,'Calculations - Outliers Removed'!L48,'cfs limit calculation'!K$17),IF('cfs limit calculation'!K$19&gt;'Calculations - Outliers Removed'!L48,'Calculations - Outliers Removed'!L48,'cfs limit calculation'!K$19))</f>
        <v>49.736407229804506</v>
      </c>
      <c r="M49" s="46">
        <f>IF($P47="Pre",IF('cfs limit calculation'!L$17&gt;'Calculations - Outliers Removed'!M48,'Calculations - Outliers Removed'!M48,'cfs limit calculation'!L$17),IF('cfs limit calculation'!L$19&gt;'Calculations - Outliers Removed'!M48,'Calculations - Outliers Removed'!M48,'cfs limit calculation'!L$19))</f>
        <v>499.21974965229487</v>
      </c>
      <c r="N49" s="45">
        <f>IF($P47="Pre",IF('cfs limit calculation'!M$17&gt;'Calculations - Outliers Removed'!N48,'Calculations - Outliers Removed'!N48,'cfs limit calculation'!M$17),IF('cfs limit calculation'!M$19&gt;'Calculations - Outliers Removed'!N48,'Calculations - Outliers Removed'!N48,'cfs limit calculation'!M$19))</f>
        <v>181.67855937702791</v>
      </c>
      <c r="O49" s="85"/>
      <c r="P49" s="189"/>
      <c r="Q49" s="62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</row>
    <row r="50" spans="1:33" ht="15" customHeight="1" thickBot="1" x14ac:dyDescent="0.4">
      <c r="A50" s="78"/>
      <c r="B50" s="50" t="s">
        <v>42</v>
      </c>
      <c r="C50" s="265">
        <f t="shared" ref="C50:N50" si="16">+C49/C47</f>
        <v>0.61789830508474575</v>
      </c>
      <c r="D50" s="266">
        <f t="shared" si="16"/>
        <v>0.70315896236301456</v>
      </c>
      <c r="E50" s="266">
        <f t="shared" si="16"/>
        <v>0.61789830508474575</v>
      </c>
      <c r="F50" s="266">
        <f t="shared" si="16"/>
        <v>0.67103954051478076</v>
      </c>
      <c r="G50" s="266">
        <f t="shared" si="16"/>
        <v>0.7974001153666157</v>
      </c>
      <c r="H50" s="266">
        <f t="shared" si="16"/>
        <v>0.66943058528068244</v>
      </c>
      <c r="I50" s="266">
        <f t="shared" si="16"/>
        <v>0.49885719085575853</v>
      </c>
      <c r="J50" s="266">
        <f t="shared" si="16"/>
        <v>0.14928538975623856</v>
      </c>
      <c r="K50" s="266">
        <f t="shared" si="16"/>
        <v>3.0862725522053814E-3</v>
      </c>
      <c r="L50" s="266">
        <f t="shared" si="16"/>
        <v>0.11061628875233792</v>
      </c>
      <c r="M50" s="266">
        <f t="shared" si="16"/>
        <v>0.53844965293776026</v>
      </c>
      <c r="N50" s="267">
        <f t="shared" si="16"/>
        <v>0.38291117758679211</v>
      </c>
      <c r="O50" s="78"/>
      <c r="P50" s="191"/>
      <c r="Q50" s="6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  <row r="51" spans="1:33" ht="15" customHeight="1" x14ac:dyDescent="0.35">
      <c r="A51" s="85">
        <v>1996</v>
      </c>
      <c r="B51" s="58" t="s">
        <v>45</v>
      </c>
      <c r="C51" s="47">
        <f>+'Monthly Historical Flow-Gen'!B34</f>
        <v>1513.2548076923076</v>
      </c>
      <c r="D51" s="46">
        <f>+'Monthly Historical Flow-Gen'!C34</f>
        <v>1528.3341346153845</v>
      </c>
      <c r="E51" s="46">
        <f>+'Monthly Historical Flow-Gen'!D34</f>
        <v>1228.5216346153845</v>
      </c>
      <c r="F51" s="46">
        <f>+'Monthly Historical Flow-Gen'!E34</f>
        <v>1589.5384615384614</v>
      </c>
      <c r="G51" s="46">
        <f>+'Monthly Historical Flow-Gen'!F34</f>
        <v>1083.0504807692307</v>
      </c>
      <c r="H51" s="46">
        <f>+'Monthly Historical Flow-Gen'!G34</f>
        <v>404.56947115384617</v>
      </c>
      <c r="I51" s="46">
        <f>+'Monthly Historical Flow-Gen'!H34</f>
        <v>497.26298076923075</v>
      </c>
      <c r="J51" s="46">
        <f>+'Monthly Historical Flow-Gen'!I34</f>
        <v>260.69495192307687</v>
      </c>
      <c r="K51" s="46">
        <f>+'Monthly Historical Flow-Gen'!J34</f>
        <v>503.64951923076916</v>
      </c>
      <c r="L51" s="46">
        <f>+'Monthly Historical Flow-Gen'!K34</f>
        <v>1201.0240384615383</v>
      </c>
      <c r="M51" s="46">
        <f>+'Monthly Historical Flow-Gen'!L34</f>
        <v>846.57115384615383</v>
      </c>
      <c r="N51" s="45">
        <f>+'Monthly Historical Flow-Gen'!M34</f>
        <v>2103.1225961538462</v>
      </c>
      <c r="O51" s="85">
        <f>+A51</f>
        <v>1996</v>
      </c>
      <c r="P51" s="189"/>
      <c r="Q51" s="62"/>
      <c r="R51" s="61"/>
      <c r="S51" s="61"/>
      <c r="T51" s="61"/>
      <c r="U51" s="61"/>
      <c r="V51" s="15"/>
      <c r="W51" s="15"/>
      <c r="X51" s="15"/>
      <c r="Y51" s="15"/>
      <c r="Z51" s="15"/>
      <c r="AA51" s="15"/>
      <c r="AB51" s="15"/>
    </row>
    <row r="52" spans="1:33" ht="15" customHeight="1" x14ac:dyDescent="0.35">
      <c r="A52" s="65"/>
      <c r="B52" s="48" t="s">
        <v>43</v>
      </c>
      <c r="C52" s="47">
        <f>IF(C51&gt;$O52,$O52,C51)</f>
        <v>927.14285714285722</v>
      </c>
      <c r="D52" s="46">
        <f t="shared" ref="D52:N52" si="17">IF(D51&gt;$O52,$O52,D51)</f>
        <v>927.14285714285722</v>
      </c>
      <c r="E52" s="46">
        <f t="shared" si="17"/>
        <v>927.14285714285722</v>
      </c>
      <c r="F52" s="46">
        <f t="shared" si="17"/>
        <v>927.14285714285722</v>
      </c>
      <c r="G52" s="46">
        <f t="shared" si="17"/>
        <v>927.14285714285722</v>
      </c>
      <c r="H52" s="46">
        <f t="shared" si="17"/>
        <v>404.56947115384617</v>
      </c>
      <c r="I52" s="46">
        <f t="shared" si="17"/>
        <v>497.26298076923075</v>
      </c>
      <c r="J52" s="46">
        <f t="shared" si="17"/>
        <v>260.69495192307687</v>
      </c>
      <c r="K52" s="46">
        <f t="shared" si="17"/>
        <v>503.64951923076916</v>
      </c>
      <c r="L52" s="46">
        <f t="shared" si="17"/>
        <v>927.14285714285722</v>
      </c>
      <c r="M52" s="46">
        <f t="shared" si="17"/>
        <v>846.57115384615383</v>
      </c>
      <c r="N52" s="45">
        <f t="shared" si="17"/>
        <v>927.14285714285722</v>
      </c>
      <c r="O52" s="185">
        <f>IF(P52="Pre",'cfs limit calculation'!$E$6,'cfs limit calculation'!$E$11)</f>
        <v>927.14285714285722</v>
      </c>
      <c r="P52" s="190" t="str">
        <f>+Calculations!P52</f>
        <v>Pre</v>
      </c>
      <c r="Q52" s="62"/>
      <c r="R52" s="61"/>
      <c r="S52" s="61"/>
      <c r="T52" s="61"/>
      <c r="U52" s="61"/>
      <c r="V52" s="15"/>
      <c r="W52" s="15"/>
      <c r="X52" s="15"/>
      <c r="Y52" s="15"/>
      <c r="Z52" s="15"/>
      <c r="AA52" s="15"/>
      <c r="AB52" s="15"/>
    </row>
    <row r="53" spans="1:33" ht="15" customHeight="1" x14ac:dyDescent="0.35">
      <c r="A53" s="85"/>
      <c r="B53" s="8" t="s">
        <v>44</v>
      </c>
      <c r="C53" s="47">
        <f>+'Monthly Historical Flow-Gen'!B60</f>
        <v>1053.2113837489944</v>
      </c>
      <c r="D53" s="46">
        <f>+'Monthly Historical Flow-Gen'!C60</f>
        <v>1074.6618442401298</v>
      </c>
      <c r="E53" s="46">
        <f>+'Monthly Historical Flow-Gen'!D60</f>
        <v>812.33317624882181</v>
      </c>
      <c r="F53" s="46">
        <f>+'Monthly Historical Flow-Gen'!E60</f>
        <v>1066.6431588613407</v>
      </c>
      <c r="G53" s="46">
        <f>+'Monthly Historical Flow-Gen'!F60</f>
        <v>863.62457831325321</v>
      </c>
      <c r="H53" s="46">
        <f>+'Monthly Historical Flow-Gen'!G60</f>
        <v>270.83117786121545</v>
      </c>
      <c r="I53" s="46">
        <f>+'Monthly Historical Flow-Gen'!H60</f>
        <v>248.06321370309954</v>
      </c>
      <c r="J53" s="46">
        <f>+'Monthly Historical Flow-Gen'!I60</f>
        <v>38.917947505320406</v>
      </c>
      <c r="K53" s="46">
        <f>+'Monthly Historical Flow-Gen'!J60</f>
        <v>1.5543996871333592</v>
      </c>
      <c r="L53" s="46">
        <f>+'Monthly Historical Flow-Gen'!K60</f>
        <v>132.85282183696054</v>
      </c>
      <c r="M53" s="46">
        <f>+'Monthly Historical Flow-Gen'!L60</f>
        <v>436.71432545201674</v>
      </c>
      <c r="N53" s="45">
        <f>+'Monthly Historical Flow-Gen'!M60</f>
        <v>805.30914990266069</v>
      </c>
      <c r="O53" s="85"/>
      <c r="P53" s="189"/>
      <c r="Q53" s="62"/>
      <c r="R53" s="61"/>
      <c r="S53" s="61"/>
      <c r="T53" s="61"/>
      <c r="U53" s="61"/>
      <c r="V53" s="15"/>
      <c r="W53" s="15"/>
      <c r="X53" s="15"/>
      <c r="Y53" s="15"/>
      <c r="Z53" s="15"/>
      <c r="AA53" s="15"/>
      <c r="AB53" s="15"/>
    </row>
    <row r="54" spans="1:33" ht="15" customHeight="1" x14ac:dyDescent="0.35">
      <c r="B54" s="22" t="s">
        <v>67</v>
      </c>
      <c r="C54" s="47">
        <f>IF($P52="Pre",IF('cfs limit calculation'!B$17&gt;'Calculations - Outliers Removed'!C53,'Calculations - Outliers Removed'!C53,'cfs limit calculation'!B$17),IF('cfs limit calculation'!B$19&gt;'Calculations - Outliers Removed'!C53,'Calculations - Outliers Removed'!C53,'cfs limit calculation'!B$19))</f>
        <v>572.88</v>
      </c>
      <c r="D54" s="46">
        <f>IF($P52="Pre",IF('cfs limit calculation'!C$17&gt;'Calculations - Outliers Removed'!D53,'Calculations - Outliers Removed'!D53,'cfs limit calculation'!C$17),IF('cfs limit calculation'!C$19&gt;'Calculations - Outliers Removed'!D53,'Calculations - Outliers Removed'!D53,'cfs limit calculation'!C$19))</f>
        <v>522.05999999999995</v>
      </c>
      <c r="E54" s="46">
        <f>IF($P52="Pre",IF('cfs limit calculation'!D$17&gt;'Calculations - Outliers Removed'!E53,'Calculations - Outliers Removed'!E53,'cfs limit calculation'!D$17),IF('cfs limit calculation'!D$19&gt;'Calculations - Outliers Removed'!E53,'Calculations - Outliers Removed'!E53,'cfs limit calculation'!D$19))</f>
        <v>572.88</v>
      </c>
      <c r="F54" s="46">
        <f>IF($P52="Pre",IF('cfs limit calculation'!E$17&gt;'Calculations - Outliers Removed'!F53,'Calculations - Outliers Removed'!F53,'cfs limit calculation'!E$17),IF('cfs limit calculation'!E$19&gt;'Calculations - Outliers Removed'!F53,'Calculations - Outliers Removed'!F53,'cfs limit calculation'!E$19))</f>
        <v>554.4</v>
      </c>
      <c r="G54" s="46">
        <f>IF($P52="Pre",IF('cfs limit calculation'!F$17&gt;'Calculations - Outliers Removed'!G53,'Calculations - Outliers Removed'!G53,'cfs limit calculation'!F$17),IF('cfs limit calculation'!F$19&gt;'Calculations - Outliers Removed'!G53,'Calculations - Outliers Removed'!G53,'cfs limit calculation'!F$19))</f>
        <v>572.88</v>
      </c>
      <c r="H54" s="46">
        <f>IF($P52="Pre",IF('cfs limit calculation'!G$17&gt;'Calculations - Outliers Removed'!H53,'Calculations - Outliers Removed'!H53,'cfs limit calculation'!G$17),IF('cfs limit calculation'!G$19&gt;'Calculations - Outliers Removed'!H53,'Calculations - Outliers Removed'!H53,'cfs limit calculation'!G$19))</f>
        <v>270.83117786121545</v>
      </c>
      <c r="I54" s="46">
        <f>IF($P52="Pre",IF('cfs limit calculation'!H$17&gt;'Calculations - Outliers Removed'!I53,'Calculations - Outliers Removed'!I53,'cfs limit calculation'!H$17),IF('cfs limit calculation'!H$19&gt;'Calculations - Outliers Removed'!I53,'Calculations - Outliers Removed'!I53,'cfs limit calculation'!H$19))</f>
        <v>248.06321370309954</v>
      </c>
      <c r="J54" s="46">
        <f>IF($P52="Pre",IF('cfs limit calculation'!I$17&gt;'Calculations - Outliers Removed'!J53,'Calculations - Outliers Removed'!J53,'cfs limit calculation'!I$17),IF('cfs limit calculation'!I$19&gt;'Calculations - Outliers Removed'!J53,'Calculations - Outliers Removed'!J53,'cfs limit calculation'!I$19))</f>
        <v>38.917947505320406</v>
      </c>
      <c r="K54" s="46">
        <f>IF($P52="Pre",IF('cfs limit calculation'!J$17&gt;'Calculations - Outliers Removed'!K53,'Calculations - Outliers Removed'!K53,'cfs limit calculation'!J$17),IF('cfs limit calculation'!J$19&gt;'Calculations - Outliers Removed'!K53,'Calculations - Outliers Removed'!K53,'cfs limit calculation'!J$19))</f>
        <v>1.5543996871333592</v>
      </c>
      <c r="L54" s="46">
        <f>IF($P52="Pre",IF('cfs limit calculation'!K$17&gt;'Calculations - Outliers Removed'!L53,'Calculations - Outliers Removed'!L53,'cfs limit calculation'!K$17),IF('cfs limit calculation'!K$19&gt;'Calculations - Outliers Removed'!L53,'Calculations - Outliers Removed'!L53,'cfs limit calculation'!K$19))</f>
        <v>132.85282183696054</v>
      </c>
      <c r="M54" s="46">
        <f>IF($P52="Pre",IF('cfs limit calculation'!L$17&gt;'Calculations - Outliers Removed'!M53,'Calculations - Outliers Removed'!M53,'cfs limit calculation'!L$17),IF('cfs limit calculation'!L$19&gt;'Calculations - Outliers Removed'!M53,'Calculations - Outliers Removed'!M53,'cfs limit calculation'!L$19))</f>
        <v>436.71432545201674</v>
      </c>
      <c r="N54" s="45">
        <f>IF($P52="Pre",IF('cfs limit calculation'!M$17&gt;'Calculations - Outliers Removed'!N53,'Calculations - Outliers Removed'!N53,'cfs limit calculation'!M$17),IF('cfs limit calculation'!M$19&gt;'Calculations - Outliers Removed'!N53,'Calculations - Outliers Removed'!N53,'cfs limit calculation'!M$19))</f>
        <v>572.88</v>
      </c>
      <c r="O54" s="85"/>
      <c r="P54" s="189"/>
      <c r="Q54" s="62"/>
      <c r="R54" s="61"/>
      <c r="S54" s="61"/>
      <c r="T54" s="61"/>
      <c r="U54" s="61"/>
      <c r="V54" s="15"/>
      <c r="W54" s="15"/>
      <c r="X54" s="15"/>
      <c r="Y54" s="15"/>
      <c r="Z54" s="15"/>
      <c r="AA54" s="15"/>
      <c r="AB54" s="15"/>
    </row>
    <row r="55" spans="1:33" ht="15" customHeight="1" thickBot="1" x14ac:dyDescent="0.4">
      <c r="A55" s="78"/>
      <c r="B55" s="50" t="s">
        <v>42</v>
      </c>
      <c r="C55" s="265">
        <f t="shared" ref="C55:N55" si="18">+C54/C52</f>
        <v>0.61789830508474575</v>
      </c>
      <c r="D55" s="266">
        <f t="shared" si="18"/>
        <v>0.56308474576271172</v>
      </c>
      <c r="E55" s="266">
        <f t="shared" si="18"/>
        <v>0.61789830508474575</v>
      </c>
      <c r="F55" s="266">
        <f t="shared" si="18"/>
        <v>0.59796610169491515</v>
      </c>
      <c r="G55" s="266">
        <f t="shared" si="18"/>
        <v>0.61789830508474575</v>
      </c>
      <c r="H55" s="266">
        <f t="shared" si="18"/>
        <v>0.66943058528068256</v>
      </c>
      <c r="I55" s="266">
        <f t="shared" si="18"/>
        <v>0.49885719085575853</v>
      </c>
      <c r="J55" s="289">
        <f t="shared" si="18"/>
        <v>0.14928538975623856</v>
      </c>
      <c r="K55" s="289">
        <f t="shared" si="18"/>
        <v>3.0862725522053814E-3</v>
      </c>
      <c r="L55" s="266">
        <f t="shared" si="18"/>
        <v>0.14329272000904833</v>
      </c>
      <c r="M55" s="268">
        <f t="shared" si="18"/>
        <v>0.51586251606605082</v>
      </c>
      <c r="N55" s="267">
        <f t="shared" si="18"/>
        <v>0.61789830508474575</v>
      </c>
      <c r="O55" s="78"/>
      <c r="P55" s="191"/>
      <c r="Q55" s="62"/>
      <c r="R55" s="61"/>
      <c r="S55" s="61"/>
      <c r="T55" s="61"/>
      <c r="U55" s="61"/>
      <c r="V55" s="15"/>
      <c r="W55" s="15"/>
      <c r="X55" s="15"/>
      <c r="Y55" s="15"/>
      <c r="Z55" s="15"/>
      <c r="AA55" s="15"/>
      <c r="AB55" s="15"/>
    </row>
    <row r="56" spans="1:33" ht="15" customHeight="1" x14ac:dyDescent="0.35">
      <c r="A56" s="85">
        <v>1997</v>
      </c>
      <c r="B56" s="58" t="s">
        <v>45</v>
      </c>
      <c r="C56" s="79">
        <f>+'Monthly Historical Flow-Gen'!B35</f>
        <v>1169.9783653846152</v>
      </c>
      <c r="D56" s="80">
        <f>+'Monthly Historical Flow-Gen'!C35</f>
        <v>1024.5072115384614</v>
      </c>
      <c r="E56" s="80">
        <f>+'Monthly Historical Flow-Gen'!D35</f>
        <v>938.46634615384608</v>
      </c>
      <c r="F56" s="80">
        <f>+'Monthly Historical Flow-Gen'!E35</f>
        <v>1872.497596153846</v>
      </c>
      <c r="G56" s="80">
        <f>+'Monthly Historical Flow-Gen'!F35</f>
        <v>826.25841346153845</v>
      </c>
      <c r="H56" s="80">
        <f>+'Monthly Historical Flow-Gen'!G35</f>
        <v>261.93677884615386</v>
      </c>
      <c r="I56" s="80">
        <f>+'Monthly Historical Flow-Gen'!H35</f>
        <v>111.94182692307692</v>
      </c>
      <c r="J56" s="80">
        <f>+'Monthly Historical Flow-Gen'!I35</f>
        <v>110.43389423076923</v>
      </c>
      <c r="K56" s="80">
        <f>+'Monthly Historical Flow-Gen'!J35</f>
        <v>91.895192307692298</v>
      </c>
      <c r="L56" s="80">
        <f>+'Monthly Historical Flow-Gen'!K35</f>
        <v>109.1920673076923</v>
      </c>
      <c r="M56" s="80">
        <f>+'Monthly Historical Flow-Gen'!L35</f>
        <v>382.6600961538461</v>
      </c>
      <c r="N56" s="81">
        <f>+'Monthly Historical Flow-Gen'!M35</f>
        <v>306.55384615384617</v>
      </c>
      <c r="O56" s="86">
        <f>+A56</f>
        <v>1997</v>
      </c>
      <c r="P56" s="188"/>
      <c r="Q56" s="62"/>
      <c r="R56" s="61"/>
      <c r="S56" s="61"/>
      <c r="T56" s="61"/>
      <c r="U56" s="61"/>
      <c r="V56" s="15"/>
      <c r="W56" s="15"/>
      <c r="X56" s="15"/>
      <c r="Y56" s="15"/>
      <c r="Z56" s="15"/>
      <c r="AA56" s="15"/>
      <c r="AB56" s="15"/>
    </row>
    <row r="57" spans="1:33" ht="15" customHeight="1" x14ac:dyDescent="0.35">
      <c r="A57" s="65"/>
      <c r="B57" s="48" t="s">
        <v>43</v>
      </c>
      <c r="C57" s="47">
        <f>IF(C56&gt;$O57,$O57,C56)</f>
        <v>927.14285714285722</v>
      </c>
      <c r="D57" s="46">
        <f t="shared" ref="D57:N57" si="19">IF(D56&gt;$O57,$O57,D56)</f>
        <v>927.14285714285722</v>
      </c>
      <c r="E57" s="46">
        <f t="shared" si="19"/>
        <v>927.14285714285722</v>
      </c>
      <c r="F57" s="46">
        <f t="shared" si="19"/>
        <v>927.14285714285722</v>
      </c>
      <c r="G57" s="46">
        <f t="shared" si="19"/>
        <v>826.25841346153845</v>
      </c>
      <c r="H57" s="46">
        <f t="shared" si="19"/>
        <v>261.93677884615386</v>
      </c>
      <c r="I57" s="46">
        <f t="shared" si="19"/>
        <v>111.94182692307692</v>
      </c>
      <c r="J57" s="46">
        <f t="shared" si="19"/>
        <v>110.43389423076923</v>
      </c>
      <c r="K57" s="46">
        <f t="shared" si="19"/>
        <v>91.895192307692298</v>
      </c>
      <c r="L57" s="46">
        <f t="shared" si="19"/>
        <v>109.1920673076923</v>
      </c>
      <c r="M57" s="46">
        <f t="shared" si="19"/>
        <v>382.6600961538461</v>
      </c>
      <c r="N57" s="45">
        <f t="shared" si="19"/>
        <v>306.55384615384617</v>
      </c>
      <c r="O57" s="185">
        <f>IF(P57="Pre",'cfs limit calculation'!$E$6,'cfs limit calculation'!$E$11)</f>
        <v>927.14285714285722</v>
      </c>
      <c r="P57" s="190" t="str">
        <f>+Calculations!P57</f>
        <v>Pre</v>
      </c>
      <c r="Q57" s="62"/>
      <c r="R57" s="61"/>
      <c r="S57" s="61"/>
      <c r="T57" s="61"/>
      <c r="U57" s="61"/>
      <c r="V57" s="15"/>
      <c r="W57" s="15"/>
      <c r="X57" s="15"/>
      <c r="Y57" s="15"/>
      <c r="Z57" s="15"/>
      <c r="AA57" s="15"/>
      <c r="AB57" s="15"/>
    </row>
    <row r="58" spans="1:33" ht="15" customHeight="1" x14ac:dyDescent="0.35">
      <c r="A58" s="85"/>
      <c r="B58" s="8" t="s">
        <v>44</v>
      </c>
      <c r="C58" s="47">
        <f>+'Monthly Historical Flow-Gen'!B61</f>
        <v>814.29414722445688</v>
      </c>
      <c r="D58" s="46">
        <f>+'Monthly Historical Flow-Gen'!C61</f>
        <v>720.39142779881013</v>
      </c>
      <c r="E58" s="46">
        <f>+'Monthly Historical Flow-Gen'!D61</f>
        <v>620.54043355325155</v>
      </c>
      <c r="F58" s="46">
        <f>+'Monthly Historical Flow-Gen'!E61</f>
        <v>1256.5199265381084</v>
      </c>
      <c r="G58" s="46">
        <f>+'Monthly Historical Flow-Gen'!F61</f>
        <v>658.85855421686767</v>
      </c>
      <c r="H58" s="46">
        <f>+'Monthly Historical Flow-Gen'!G61</f>
        <v>175.34849116951747</v>
      </c>
      <c r="I58" s="46">
        <f>+'Monthly Historical Flow-Gen'!H61</f>
        <v>55.842985318107672</v>
      </c>
      <c r="J58" s="46">
        <f>+'Monthly Historical Flow-Gen'!I61</f>
        <v>16.486166942539608</v>
      </c>
      <c r="K58" s="46">
        <f>+'Monthly Historical Flow-Gen'!J61</f>
        <v>0.28361360969886584</v>
      </c>
      <c r="L58" s="46">
        <f>+'Monthly Historical Flow-Gen'!K61</f>
        <v>12.078421246772409</v>
      </c>
      <c r="M58" s="46">
        <f>+'Monthly Historical Flow-Gen'!L61</f>
        <v>197.39999999999998</v>
      </c>
      <c r="N58" s="45">
        <f>+'Monthly Historical Flow-Gen'!M61</f>
        <v>117.38289422452954</v>
      </c>
      <c r="O58" s="85"/>
      <c r="P58" s="189"/>
      <c r="Q58" s="62"/>
      <c r="R58" s="61"/>
      <c r="S58" s="61"/>
      <c r="T58" s="61"/>
      <c r="U58" s="61"/>
      <c r="V58" s="15"/>
      <c r="W58" s="15"/>
      <c r="X58" s="15"/>
      <c r="Y58" s="15"/>
      <c r="Z58" s="15"/>
      <c r="AA58" s="15"/>
      <c r="AB58" s="15"/>
    </row>
    <row r="59" spans="1:33" ht="15" customHeight="1" x14ac:dyDescent="0.35">
      <c r="B59" s="22" t="s">
        <v>67</v>
      </c>
      <c r="C59" s="47">
        <f>IF($P57="Pre",IF('cfs limit calculation'!B$17&gt;'Calculations - Outliers Removed'!C58,'Calculations - Outliers Removed'!C58,'cfs limit calculation'!B$17),IF('cfs limit calculation'!B$19&gt;'Calculations - Outliers Removed'!C58,'Calculations - Outliers Removed'!C58,'cfs limit calculation'!B$19))</f>
        <v>572.88</v>
      </c>
      <c r="D59" s="46">
        <f>IF($P57="Pre",IF('cfs limit calculation'!C$17&gt;'Calculations - Outliers Removed'!D58,'Calculations - Outliers Removed'!D58,'cfs limit calculation'!C$17),IF('cfs limit calculation'!C$19&gt;'Calculations - Outliers Removed'!D58,'Calculations - Outliers Removed'!D58,'cfs limit calculation'!C$19))</f>
        <v>522.05999999999995</v>
      </c>
      <c r="E59" s="46">
        <f>IF($P57="Pre",IF('cfs limit calculation'!D$17&gt;'Calculations - Outliers Removed'!E58,'Calculations - Outliers Removed'!E58,'cfs limit calculation'!D$17),IF('cfs limit calculation'!D$19&gt;'Calculations - Outliers Removed'!E58,'Calculations - Outliers Removed'!E58,'cfs limit calculation'!D$19))</f>
        <v>572.88</v>
      </c>
      <c r="F59" s="46">
        <f>IF($P57="Pre",IF('cfs limit calculation'!E$17&gt;'Calculations - Outliers Removed'!F58,'Calculations - Outliers Removed'!F58,'cfs limit calculation'!E$17),IF('cfs limit calculation'!E$19&gt;'Calculations - Outliers Removed'!F58,'Calculations - Outliers Removed'!F58,'cfs limit calculation'!E$19))</f>
        <v>554.4</v>
      </c>
      <c r="G59" s="46">
        <f>IF($P57="Pre",IF('cfs limit calculation'!F$17&gt;'Calculations - Outliers Removed'!G58,'Calculations - Outliers Removed'!G58,'cfs limit calculation'!F$17),IF('cfs limit calculation'!F$19&gt;'Calculations - Outliers Removed'!G58,'Calculations - Outliers Removed'!G58,'cfs limit calculation'!F$19))</f>
        <v>572.88</v>
      </c>
      <c r="H59" s="46">
        <f>IF($P57="Pre",IF('cfs limit calculation'!G$17&gt;'Calculations - Outliers Removed'!H58,'Calculations - Outliers Removed'!H58,'cfs limit calculation'!G$17),IF('cfs limit calculation'!G$19&gt;'Calculations - Outliers Removed'!H58,'Calculations - Outliers Removed'!H58,'cfs limit calculation'!G$19))</f>
        <v>175.34849116951747</v>
      </c>
      <c r="I59" s="46">
        <f>IF($P57="Pre",IF('cfs limit calculation'!H$17&gt;'Calculations - Outliers Removed'!I58,'Calculations - Outliers Removed'!I58,'cfs limit calculation'!H$17),IF('cfs limit calculation'!H$19&gt;'Calculations - Outliers Removed'!I58,'Calculations - Outliers Removed'!I58,'cfs limit calculation'!H$19))</f>
        <v>55.842985318107672</v>
      </c>
      <c r="J59" s="46">
        <f>IF($P57="Pre",IF('cfs limit calculation'!I$17&gt;'Calculations - Outliers Removed'!J58,'Calculations - Outliers Removed'!J58,'cfs limit calculation'!I$17),IF('cfs limit calculation'!I$19&gt;'Calculations - Outliers Removed'!J58,'Calculations - Outliers Removed'!J58,'cfs limit calculation'!I$19))</f>
        <v>16.486166942539608</v>
      </c>
      <c r="K59" s="46">
        <f>IF($P57="Pre",IF('cfs limit calculation'!J$17&gt;'Calculations - Outliers Removed'!K58,'Calculations - Outliers Removed'!K58,'cfs limit calculation'!J$17),IF('cfs limit calculation'!J$19&gt;'Calculations - Outliers Removed'!K58,'Calculations - Outliers Removed'!K58,'cfs limit calculation'!J$19))</f>
        <v>0.28361360969886584</v>
      </c>
      <c r="L59" s="46">
        <f>IF($P57="Pre",IF('cfs limit calculation'!K$17&gt;'Calculations - Outliers Removed'!L58,'Calculations - Outliers Removed'!L58,'cfs limit calculation'!K$17),IF('cfs limit calculation'!K$19&gt;'Calculations - Outliers Removed'!L58,'Calculations - Outliers Removed'!L58,'cfs limit calculation'!K$19))</f>
        <v>12.078421246772409</v>
      </c>
      <c r="M59" s="46">
        <f>IF($P57="Pre",IF('cfs limit calculation'!L$17&gt;'Calculations - Outliers Removed'!M58,'Calculations - Outliers Removed'!M58,'cfs limit calculation'!L$17),IF('cfs limit calculation'!L$19&gt;'Calculations - Outliers Removed'!M58,'Calculations - Outliers Removed'!M58,'cfs limit calculation'!L$19))</f>
        <v>197.39999999999998</v>
      </c>
      <c r="N59" s="45">
        <f>IF($P57="Pre",IF('cfs limit calculation'!M$17&gt;'Calculations - Outliers Removed'!N58,'Calculations - Outliers Removed'!N58,'cfs limit calculation'!M$17),IF('cfs limit calculation'!M$19&gt;'Calculations - Outliers Removed'!N58,'Calculations - Outliers Removed'!N58,'cfs limit calculation'!M$19))</f>
        <v>117.38289422452954</v>
      </c>
      <c r="O59" s="65"/>
      <c r="P59" s="48"/>
      <c r="Q59" s="62"/>
      <c r="R59" s="61"/>
      <c r="S59" s="61"/>
      <c r="T59" s="61"/>
      <c r="U59" s="61"/>
      <c r="V59" s="15"/>
      <c r="W59" s="15"/>
      <c r="X59" s="15"/>
      <c r="Y59" s="15"/>
      <c r="Z59" s="15"/>
      <c r="AA59" s="15"/>
      <c r="AB59" s="15"/>
    </row>
    <row r="60" spans="1:33" ht="15" customHeight="1" thickBot="1" x14ac:dyDescent="0.4">
      <c r="A60" s="78"/>
      <c r="B60" s="50" t="s">
        <v>42</v>
      </c>
      <c r="C60" s="265">
        <f t="shared" ref="C60:N60" si="20">+C59/C57</f>
        <v>0.61789830508474575</v>
      </c>
      <c r="D60" s="268">
        <f t="shared" si="20"/>
        <v>0.56308474576271172</v>
      </c>
      <c r="E60" s="266">
        <f t="shared" si="20"/>
        <v>0.61789830508474575</v>
      </c>
      <c r="F60" s="268">
        <f t="shared" si="20"/>
        <v>0.59796610169491515</v>
      </c>
      <c r="G60" s="266">
        <f t="shared" si="20"/>
        <v>0.69334241039672873</v>
      </c>
      <c r="H60" s="266">
        <f t="shared" si="20"/>
        <v>0.66943058528068256</v>
      </c>
      <c r="I60" s="266">
        <f t="shared" si="20"/>
        <v>0.49885719085575853</v>
      </c>
      <c r="J60" s="266">
        <f t="shared" si="20"/>
        <v>0.14928538975623856</v>
      </c>
      <c r="K60" s="266">
        <f t="shared" si="20"/>
        <v>3.0862725522053814E-3</v>
      </c>
      <c r="L60" s="266">
        <f t="shared" si="20"/>
        <v>0.11061628875233792</v>
      </c>
      <c r="M60" s="289">
        <f t="shared" si="20"/>
        <v>0.51586251606605082</v>
      </c>
      <c r="N60" s="290">
        <f t="shared" si="20"/>
        <v>0.38291117758679211</v>
      </c>
      <c r="O60" s="78"/>
      <c r="P60" s="191"/>
      <c r="Q60" s="62"/>
      <c r="R60" s="61"/>
      <c r="S60" s="61"/>
      <c r="T60" s="61"/>
      <c r="U60" s="61"/>
      <c r="V60" s="15"/>
      <c r="W60" s="15"/>
      <c r="X60" s="15"/>
      <c r="Y60" s="15"/>
      <c r="Z60" s="15"/>
      <c r="AA60" s="15"/>
      <c r="AB60" s="15"/>
    </row>
    <row r="61" spans="1:33" ht="15" customHeight="1" x14ac:dyDescent="0.3">
      <c r="A61" s="86">
        <v>1998</v>
      </c>
      <c r="B61" s="58" t="s">
        <v>45</v>
      </c>
      <c r="C61" s="75">
        <f>+'Monthly Historical Flow-Gen'!B36</f>
        <v>1133.6105769230769</v>
      </c>
      <c r="D61" s="31">
        <f>+'Monthly Historical Flow-Gen'!C36</f>
        <v>1443.1802884615383</v>
      </c>
      <c r="E61" s="31">
        <f>+'Monthly Historical Flow-Gen'!D36</f>
        <v>1991.3581730769231</v>
      </c>
      <c r="F61" s="31">
        <f>+'Monthly Historical Flow-Gen'!E36</f>
        <v>1056.4399038461538</v>
      </c>
      <c r="G61" s="31">
        <f>+'Monthly Historical Flow-Gen'!F36</f>
        <v>1262.2283653846152</v>
      </c>
      <c r="H61" s="31">
        <f>+'Monthly Historical Flow-Gen'!G36</f>
        <v>1520.3509615384614</v>
      </c>
      <c r="I61" s="31">
        <f>+'Monthly Historical Flow-Gen'!H36</f>
        <v>762.57043269230769</v>
      </c>
      <c r="J61" s="31">
        <f>+'Monthly Historical Flow-Gen'!I36</f>
        <v>192.30576923076924</v>
      </c>
      <c r="K61" s="31">
        <f>+'Monthly Historical Flow-Gen'!J36</f>
        <v>137.13317307692307</v>
      </c>
      <c r="L61" s="31">
        <f>+'Monthly Historical Flow-Gen'!K36</f>
        <v>413.35096153846149</v>
      </c>
      <c r="M61" s="31">
        <f>+'Monthly Historical Flow-Gen'!L36</f>
        <v>297.77235576923073</v>
      </c>
      <c r="N61" s="36">
        <f>+'Monthly Historical Flow-Gen'!M36</f>
        <v>266.19447115384617</v>
      </c>
      <c r="O61" s="85">
        <f>+A61</f>
        <v>1998</v>
      </c>
      <c r="P61" s="189"/>
      <c r="Q61" s="52"/>
      <c r="R61" s="90"/>
      <c r="S61" s="90"/>
      <c r="T61" s="90"/>
      <c r="U61" s="61"/>
      <c r="V61" s="90"/>
      <c r="W61" s="90"/>
      <c r="X61" s="90"/>
      <c r="Y61" s="15"/>
      <c r="Z61" s="15"/>
      <c r="AA61" s="15"/>
      <c r="AB61" s="15"/>
    </row>
    <row r="62" spans="1:33" ht="15" customHeight="1" x14ac:dyDescent="0.3">
      <c r="A62" s="85"/>
      <c r="B62" s="48" t="s">
        <v>43</v>
      </c>
      <c r="C62" s="47">
        <f>IF(C61&gt;$O62,$O62,C61)</f>
        <v>927.14285714285722</v>
      </c>
      <c r="D62" s="46">
        <f t="shared" ref="D62:N62" si="21">IF(D61&gt;$O62,$O62,D61)</f>
        <v>927.14285714285722</v>
      </c>
      <c r="E62" s="46">
        <f t="shared" si="21"/>
        <v>927.14285714285722</v>
      </c>
      <c r="F62" s="46">
        <f t="shared" si="21"/>
        <v>927.14285714285722</v>
      </c>
      <c r="G62" s="46">
        <f t="shared" si="21"/>
        <v>927.14285714285722</v>
      </c>
      <c r="H62" s="46">
        <f t="shared" si="21"/>
        <v>927.14285714285722</v>
      </c>
      <c r="I62" s="46">
        <f t="shared" si="21"/>
        <v>762.57043269230769</v>
      </c>
      <c r="J62" s="46">
        <f t="shared" si="21"/>
        <v>192.30576923076924</v>
      </c>
      <c r="K62" s="46">
        <f t="shared" si="21"/>
        <v>137.13317307692307</v>
      </c>
      <c r="L62" s="46">
        <f t="shared" si="21"/>
        <v>413.35096153846149</v>
      </c>
      <c r="M62" s="46">
        <f t="shared" si="21"/>
        <v>297.77235576923073</v>
      </c>
      <c r="N62" s="45">
        <f t="shared" si="21"/>
        <v>266.19447115384617</v>
      </c>
      <c r="O62" s="185">
        <f>IF(P62="Pre",'cfs limit calculation'!$E$6,'cfs limit calculation'!$E$11)</f>
        <v>927.14285714285722</v>
      </c>
      <c r="P62" s="190" t="str">
        <f>+Calculations!P62</f>
        <v>Pre</v>
      </c>
      <c r="Q62" s="52"/>
      <c r="R62" s="90"/>
      <c r="S62" s="90"/>
      <c r="T62" s="90"/>
      <c r="U62" s="61"/>
      <c r="V62" s="90"/>
      <c r="W62" s="90"/>
      <c r="X62" s="90"/>
      <c r="Y62" s="15"/>
      <c r="Z62" s="15"/>
      <c r="AA62" s="15"/>
      <c r="AB62" s="15"/>
    </row>
    <row r="63" spans="1:33" ht="15" customHeight="1" x14ac:dyDescent="0.3">
      <c r="A63" s="85"/>
      <c r="B63" s="8" t="s">
        <v>44</v>
      </c>
      <c r="C63" s="47">
        <f>+'Monthly Historical Flow-Gen'!B62</f>
        <v>788.98250201126314</v>
      </c>
      <c r="D63" s="46">
        <f>+'Monthly Historical Flow-Gen'!C62</f>
        <v>1014.7851541373715</v>
      </c>
      <c r="E63" s="46">
        <f>+'Monthly Historical Flow-Gen'!D62</f>
        <v>1316.7422243166823</v>
      </c>
      <c r="F63" s="46">
        <f>+'Monthly Historical Flow-Gen'!E62</f>
        <v>708.91294765840223</v>
      </c>
      <c r="G63" s="46">
        <f>+'Monthly Historical Flow-Gen'!F62</f>
        <v>1006.501044176707</v>
      </c>
      <c r="H63" s="46">
        <f>+'Monthly Historical Flow-Gen'!G62</f>
        <v>1017.7694340147407</v>
      </c>
      <c r="I63" s="46">
        <f>+'Monthly Historical Flow-Gen'!H62</f>
        <v>380.41374388254491</v>
      </c>
      <c r="J63" s="46">
        <f>+'Monthly Historical Flow-Gen'!I62</f>
        <v>28.708441711988655</v>
      </c>
      <c r="K63" s="46">
        <f>+'Monthly Historical Flow-Gen'!J62</f>
        <v>0.42323034806413767</v>
      </c>
      <c r="L63" s="46">
        <f>+'Monthly Historical Flow-Gen'!K62</f>
        <v>45.72334931759498</v>
      </c>
      <c r="M63" s="46">
        <f>+'Monthly Historical Flow-Gen'!L62</f>
        <v>153.60959666203058</v>
      </c>
      <c r="N63" s="45">
        <f>+'Monthly Historical Flow-Gen'!M62</f>
        <v>101.92883841661259</v>
      </c>
      <c r="O63" s="85"/>
      <c r="P63" s="189"/>
      <c r="Q63" s="51"/>
      <c r="R63" s="90"/>
      <c r="S63" s="90"/>
      <c r="T63" s="90"/>
      <c r="U63" s="61"/>
      <c r="V63" s="90"/>
      <c r="W63" s="90"/>
      <c r="X63" s="90"/>
      <c r="Y63" s="15"/>
      <c r="Z63" s="15"/>
      <c r="AA63" s="15"/>
      <c r="AB63" s="15"/>
    </row>
    <row r="64" spans="1:33" ht="15" customHeight="1" x14ac:dyDescent="0.3">
      <c r="B64" s="22" t="s">
        <v>67</v>
      </c>
      <c r="C64" s="47">
        <f>IF($P62="Pre",IF('cfs limit calculation'!B$17&gt;'Calculations - Outliers Removed'!C63,'Calculations - Outliers Removed'!C63,'cfs limit calculation'!B$17),IF('cfs limit calculation'!B$19&gt;'Calculations - Outliers Removed'!C63,'Calculations - Outliers Removed'!C63,'cfs limit calculation'!B$19))</f>
        <v>572.88</v>
      </c>
      <c r="D64" s="46">
        <f>IF($P62="Pre",IF('cfs limit calculation'!C$17&gt;'Calculations - Outliers Removed'!D63,'Calculations - Outliers Removed'!D63,'cfs limit calculation'!C$17),IF('cfs limit calculation'!C$19&gt;'Calculations - Outliers Removed'!D63,'Calculations - Outliers Removed'!D63,'cfs limit calculation'!C$19))</f>
        <v>522.05999999999995</v>
      </c>
      <c r="E64" s="46">
        <f>IF($P62="Pre",IF('cfs limit calculation'!D$17&gt;'Calculations - Outliers Removed'!E63,'Calculations - Outliers Removed'!E63,'cfs limit calculation'!D$17),IF('cfs limit calculation'!D$19&gt;'Calculations - Outliers Removed'!E63,'Calculations - Outliers Removed'!E63,'cfs limit calculation'!D$19))</f>
        <v>572.88</v>
      </c>
      <c r="F64" s="46">
        <f>IF($P62="Pre",IF('cfs limit calculation'!E$17&gt;'Calculations - Outliers Removed'!F63,'Calculations - Outliers Removed'!F63,'cfs limit calculation'!E$17),IF('cfs limit calculation'!E$19&gt;'Calculations - Outliers Removed'!F63,'Calculations - Outliers Removed'!F63,'cfs limit calculation'!E$19))</f>
        <v>554.4</v>
      </c>
      <c r="G64" s="46">
        <f>IF($P62="Pre",IF('cfs limit calculation'!F$17&gt;'Calculations - Outliers Removed'!G63,'Calculations - Outliers Removed'!G63,'cfs limit calculation'!F$17),IF('cfs limit calculation'!F$19&gt;'Calculations - Outliers Removed'!G63,'Calculations - Outliers Removed'!G63,'cfs limit calculation'!F$19))</f>
        <v>572.88</v>
      </c>
      <c r="H64" s="46">
        <f>IF($P62="Pre",IF('cfs limit calculation'!G$17&gt;'Calculations - Outliers Removed'!H63,'Calculations - Outliers Removed'!H63,'cfs limit calculation'!G$17),IF('cfs limit calculation'!G$19&gt;'Calculations - Outliers Removed'!H63,'Calculations - Outliers Removed'!H63,'cfs limit calculation'!G$19))</f>
        <v>554.4</v>
      </c>
      <c r="I64" s="46">
        <f>IF($P62="Pre",IF('cfs limit calculation'!H$17&gt;'Calculations - Outliers Removed'!I63,'Calculations - Outliers Removed'!I63,'cfs limit calculation'!H$17),IF('cfs limit calculation'!H$19&gt;'Calculations - Outliers Removed'!I63,'Calculations - Outliers Removed'!I63,'cfs limit calculation'!H$19))</f>
        <v>380.41374388254491</v>
      </c>
      <c r="J64" s="46">
        <f>IF($P62="Pre",IF('cfs limit calculation'!I$17&gt;'Calculations - Outliers Removed'!J63,'Calculations - Outliers Removed'!J63,'cfs limit calculation'!I$17),IF('cfs limit calculation'!I$19&gt;'Calculations - Outliers Removed'!J63,'Calculations - Outliers Removed'!J63,'cfs limit calculation'!I$19))</f>
        <v>28.708441711988655</v>
      </c>
      <c r="K64" s="46">
        <f>IF($P62="Pre",IF('cfs limit calculation'!J$17&gt;'Calculations - Outliers Removed'!K63,'Calculations - Outliers Removed'!K63,'cfs limit calculation'!J$17),IF('cfs limit calculation'!J$19&gt;'Calculations - Outliers Removed'!K63,'Calculations - Outliers Removed'!K63,'cfs limit calculation'!J$19))</f>
        <v>0.42323034806413767</v>
      </c>
      <c r="L64" s="46">
        <f>IF($P62="Pre",IF('cfs limit calculation'!K$17&gt;'Calculations - Outliers Removed'!L63,'Calculations - Outliers Removed'!L63,'cfs limit calculation'!K$17),IF('cfs limit calculation'!K$19&gt;'Calculations - Outliers Removed'!L63,'Calculations - Outliers Removed'!L63,'cfs limit calculation'!K$19))</f>
        <v>45.72334931759498</v>
      </c>
      <c r="M64" s="46">
        <f>IF($P62="Pre",IF('cfs limit calculation'!L$17&gt;'Calculations - Outliers Removed'!M63,'Calculations - Outliers Removed'!M63,'cfs limit calculation'!L$17),IF('cfs limit calculation'!L$19&gt;'Calculations - Outliers Removed'!M63,'Calculations - Outliers Removed'!M63,'cfs limit calculation'!L$19))</f>
        <v>153.60959666203058</v>
      </c>
      <c r="N64" s="45">
        <f>IF($P62="Pre",IF('cfs limit calculation'!M$17&gt;'Calculations - Outliers Removed'!N63,'Calculations - Outliers Removed'!N63,'cfs limit calculation'!M$17),IF('cfs limit calculation'!M$19&gt;'Calculations - Outliers Removed'!N63,'Calculations - Outliers Removed'!N63,'cfs limit calculation'!M$19))</f>
        <v>101.92883841661259</v>
      </c>
      <c r="O64" s="85"/>
      <c r="P64" s="189"/>
      <c r="Q64" s="51"/>
      <c r="R64" s="90"/>
      <c r="S64" s="90"/>
      <c r="T64" s="90"/>
      <c r="U64" s="61"/>
      <c r="V64" s="90"/>
      <c r="W64" s="90"/>
      <c r="X64" s="90"/>
      <c r="Y64" s="15"/>
      <c r="Z64" s="15"/>
      <c r="AA64" s="15"/>
      <c r="AB64" s="15"/>
    </row>
    <row r="65" spans="1:28" ht="15" customHeight="1" thickBot="1" x14ac:dyDescent="0.35">
      <c r="A65" s="44"/>
      <c r="B65" s="50" t="s">
        <v>42</v>
      </c>
      <c r="C65" s="265">
        <f t="shared" ref="C65:N65" si="22">+C64/C62</f>
        <v>0.61789830508474575</v>
      </c>
      <c r="D65" s="266">
        <f t="shared" si="22"/>
        <v>0.56308474576271172</v>
      </c>
      <c r="E65" s="266">
        <f t="shared" si="22"/>
        <v>0.61789830508474575</v>
      </c>
      <c r="F65" s="266">
        <f t="shared" si="22"/>
        <v>0.59796610169491515</v>
      </c>
      <c r="G65" s="266">
        <f t="shared" si="22"/>
        <v>0.61789830508474575</v>
      </c>
      <c r="H65" s="266">
        <f t="shared" si="22"/>
        <v>0.59796610169491515</v>
      </c>
      <c r="I65" s="266">
        <f t="shared" si="22"/>
        <v>0.49885719085575853</v>
      </c>
      <c r="J65" s="289">
        <f t="shared" si="22"/>
        <v>0.14928538975623856</v>
      </c>
      <c r="K65" s="289">
        <f t="shared" si="22"/>
        <v>3.0862725522053814E-3</v>
      </c>
      <c r="L65" s="266">
        <f t="shared" si="22"/>
        <v>0.11061628875233792</v>
      </c>
      <c r="M65" s="266">
        <f t="shared" si="22"/>
        <v>0.51586251606605082</v>
      </c>
      <c r="N65" s="267">
        <f t="shared" si="22"/>
        <v>0.38291117758679211</v>
      </c>
      <c r="O65" s="78"/>
      <c r="P65" s="191"/>
      <c r="Q65" s="51"/>
      <c r="R65" s="90"/>
      <c r="S65" s="90"/>
      <c r="T65" s="90"/>
      <c r="U65" s="61"/>
      <c r="V65" s="90"/>
      <c r="W65" s="90"/>
      <c r="X65" s="90"/>
      <c r="Y65" s="15"/>
      <c r="Z65" s="15"/>
      <c r="AA65" s="15"/>
      <c r="AB65" s="15"/>
    </row>
    <row r="66" spans="1:28" ht="15" customHeight="1" x14ac:dyDescent="0.3">
      <c r="A66" s="85">
        <v>1999</v>
      </c>
      <c r="B66" s="58" t="s">
        <v>45</v>
      </c>
      <c r="C66" s="47">
        <f>+'Monthly Historical Flow-Gen'!B37</f>
        <v>1240.0528846153845</v>
      </c>
      <c r="D66" s="46">
        <f>+'Monthly Historical Flow-Gen'!C37</f>
        <v>1331.4158653846152</v>
      </c>
      <c r="E66" s="46">
        <f>+'Monthly Historical Flow-Gen'!D37</f>
        <v>1441.40625</v>
      </c>
      <c r="F66" s="46">
        <f>+'Monthly Historical Flow-Gen'!E37</f>
        <v>557.31418269230767</v>
      </c>
      <c r="G66" s="46">
        <f>+'Monthly Historical Flow-Gen'!F37</f>
        <v>423.46298076923074</v>
      </c>
      <c r="H66" s="46">
        <f>+'Monthly Historical Flow-Gen'!G37</f>
        <v>121.078125</v>
      </c>
      <c r="I66" s="46">
        <f>+'Monthly Historical Flow-Gen'!H37</f>
        <v>106.79711538461538</v>
      </c>
      <c r="J66" s="46">
        <f>+'Monthly Historical Flow-Gen'!I37</f>
        <v>63.421875</v>
      </c>
      <c r="K66" s="46">
        <f>+'Monthly Historical Flow-Gen'!J37</f>
        <v>384.25673076923073</v>
      </c>
      <c r="L66" s="46">
        <f>+'Monthly Historical Flow-Gen'!K37</f>
        <v>416.89903846153845</v>
      </c>
      <c r="M66" s="46">
        <f>+'Monthly Historical Flow-Gen'!L37</f>
        <v>409.18197115384612</v>
      </c>
      <c r="N66" s="45">
        <f>+'Monthly Historical Flow-Gen'!M37</f>
        <v>533.09855769230762</v>
      </c>
      <c r="O66" s="85">
        <f>+A66</f>
        <v>1999</v>
      </c>
      <c r="P66" s="189"/>
      <c r="Q66" s="51"/>
      <c r="R66" s="90"/>
      <c r="S66" s="90"/>
      <c r="T66" s="90"/>
      <c r="U66" s="61"/>
      <c r="V66" s="90"/>
      <c r="W66" s="90"/>
      <c r="X66" s="90"/>
      <c r="Y66" s="15"/>
      <c r="Z66" s="15"/>
      <c r="AA66" s="15"/>
      <c r="AB66" s="15"/>
    </row>
    <row r="67" spans="1:28" ht="15" customHeight="1" x14ac:dyDescent="0.3">
      <c r="A67" s="85"/>
      <c r="B67" s="48" t="s">
        <v>43</v>
      </c>
      <c r="C67" s="47">
        <f>IF(C66&gt;$O67,$O67,C66)</f>
        <v>927.14285714285722</v>
      </c>
      <c r="D67" s="46">
        <f t="shared" ref="D67:N67" si="23">IF(D66&gt;$O67,$O67,D66)</f>
        <v>927.14285714285722</v>
      </c>
      <c r="E67" s="46">
        <f t="shared" si="23"/>
        <v>927.14285714285722</v>
      </c>
      <c r="F67" s="46">
        <f t="shared" si="23"/>
        <v>557.31418269230767</v>
      </c>
      <c r="G67" s="46">
        <f t="shared" si="23"/>
        <v>423.46298076923074</v>
      </c>
      <c r="H67" s="46">
        <f t="shared" si="23"/>
        <v>121.078125</v>
      </c>
      <c r="I67" s="46">
        <f t="shared" si="23"/>
        <v>106.79711538461538</v>
      </c>
      <c r="J67" s="46">
        <f t="shared" si="23"/>
        <v>63.421875</v>
      </c>
      <c r="K67" s="46">
        <f t="shared" si="23"/>
        <v>384.25673076923073</v>
      </c>
      <c r="L67" s="46">
        <f t="shared" si="23"/>
        <v>416.89903846153845</v>
      </c>
      <c r="M67" s="46">
        <f t="shared" si="23"/>
        <v>409.18197115384612</v>
      </c>
      <c r="N67" s="45">
        <f t="shared" si="23"/>
        <v>533.09855769230762</v>
      </c>
      <c r="O67" s="185">
        <f>IF(P67="Pre",'cfs limit calculation'!$E$6,'cfs limit calculation'!$E$11)</f>
        <v>927.14285714285722</v>
      </c>
      <c r="P67" s="190" t="str">
        <f>+Calculations!P67</f>
        <v>Pre</v>
      </c>
      <c r="Q67" s="51"/>
      <c r="R67" s="90"/>
      <c r="S67" s="90"/>
      <c r="T67" s="90"/>
      <c r="U67" s="61"/>
      <c r="V67" s="90"/>
      <c r="W67" s="90"/>
      <c r="X67" s="90"/>
      <c r="Y67" s="15"/>
      <c r="Z67" s="15"/>
      <c r="AA67" s="15"/>
      <c r="AB67" s="15"/>
    </row>
    <row r="68" spans="1:28" ht="15" customHeight="1" x14ac:dyDescent="0.3">
      <c r="A68" s="85"/>
      <c r="B68" s="8" t="s">
        <v>44</v>
      </c>
      <c r="C68" s="47">
        <f>+'Monthly Historical Flow-Gen'!B63</f>
        <v>863.06536604987934</v>
      </c>
      <c r="D68" s="46">
        <f>+'Monthly Historical Flow-Gen'!C63</f>
        <v>936.19699837750125</v>
      </c>
      <c r="E68" s="46">
        <f>+'Monthly Historical Flow-Gen'!D63</f>
        <v>953.09849198868983</v>
      </c>
      <c r="F68" s="46">
        <f>+'Monthly Historical Flow-Gen'!E63</f>
        <v>373.97985307621673</v>
      </c>
      <c r="G68" s="46">
        <f>+'Monthly Historical Flow-Gen'!F63</f>
        <v>337.66942971887556</v>
      </c>
      <c r="H68" s="46">
        <f>+'Monthly Historical Flow-Gen'!G63</f>
        <v>81.053400083437637</v>
      </c>
      <c r="I68" s="46">
        <f>+'Monthly Historical Flow-Gen'!H63</f>
        <v>53.276508972267543</v>
      </c>
      <c r="J68" s="46">
        <f>+'Monthly Historical Flow-Gen'!I63</f>
        <v>9.4679593284464421</v>
      </c>
      <c r="K68" s="46">
        <f>+'Monthly Historical Flow-Gen'!J63</f>
        <v>1.1859210011732497</v>
      </c>
      <c r="L68" s="46">
        <f>+'Monthly Historical Flow-Gen'!K63</f>
        <v>46.115824419033572</v>
      </c>
      <c r="M68" s="46">
        <f>+'Monthly Historical Flow-Gen'!L63</f>
        <v>211.08164116828928</v>
      </c>
      <c r="N68" s="45">
        <f>+'Monthly Historical Flow-Gen'!M63</f>
        <v>204.12939649578195</v>
      </c>
      <c r="O68" s="85"/>
      <c r="P68" s="189"/>
      <c r="Q68" s="51"/>
      <c r="R68" s="90"/>
      <c r="S68" s="90"/>
      <c r="T68" s="90"/>
      <c r="U68" s="61"/>
      <c r="V68" s="90"/>
      <c r="W68" s="90"/>
      <c r="X68" s="90"/>
      <c r="Y68" s="15"/>
      <c r="Z68" s="15"/>
      <c r="AA68" s="15"/>
      <c r="AB68" s="15"/>
    </row>
    <row r="69" spans="1:28" ht="15" customHeight="1" x14ac:dyDescent="0.25">
      <c r="B69" s="22" t="s">
        <v>67</v>
      </c>
      <c r="C69" s="47">
        <f>IF($P67="Pre",IF('cfs limit calculation'!B$17&gt;'Calculations - Outliers Removed'!C68,'Calculations - Outliers Removed'!C68,'cfs limit calculation'!B$17),IF('cfs limit calculation'!B$19&gt;'Calculations - Outliers Removed'!C68,'Calculations - Outliers Removed'!C68,'cfs limit calculation'!B$19))</f>
        <v>572.88</v>
      </c>
      <c r="D69" s="46">
        <f>IF($P67="Pre",IF('cfs limit calculation'!C$17&gt;'Calculations - Outliers Removed'!D68,'Calculations - Outliers Removed'!D68,'cfs limit calculation'!C$17),IF('cfs limit calculation'!C$19&gt;'Calculations - Outliers Removed'!D68,'Calculations - Outliers Removed'!D68,'cfs limit calculation'!C$19))</f>
        <v>522.05999999999995</v>
      </c>
      <c r="E69" s="46">
        <f>IF($P67="Pre",IF('cfs limit calculation'!D$17&gt;'Calculations - Outliers Removed'!E68,'Calculations - Outliers Removed'!E68,'cfs limit calculation'!D$17),IF('cfs limit calculation'!D$19&gt;'Calculations - Outliers Removed'!E68,'Calculations - Outliers Removed'!E68,'cfs limit calculation'!D$19))</f>
        <v>572.88</v>
      </c>
      <c r="F69" s="46">
        <f>IF($P67="Pre",IF('cfs limit calculation'!E$17&gt;'Calculations - Outliers Removed'!F68,'Calculations - Outliers Removed'!F68,'cfs limit calculation'!E$17),IF('cfs limit calculation'!E$19&gt;'Calculations - Outliers Removed'!F68,'Calculations - Outliers Removed'!F68,'cfs limit calculation'!E$19))</f>
        <v>373.97985307621673</v>
      </c>
      <c r="G69" s="46">
        <f>IF($P67="Pre",IF('cfs limit calculation'!F$17&gt;'Calculations - Outliers Removed'!G68,'Calculations - Outliers Removed'!G68,'cfs limit calculation'!F$17),IF('cfs limit calculation'!F$19&gt;'Calculations - Outliers Removed'!G68,'Calculations - Outliers Removed'!G68,'cfs limit calculation'!F$19))</f>
        <v>337.66942971887556</v>
      </c>
      <c r="H69" s="46">
        <f>IF($P67="Pre",IF('cfs limit calculation'!G$17&gt;'Calculations - Outliers Removed'!H68,'Calculations - Outliers Removed'!H68,'cfs limit calculation'!G$17),IF('cfs limit calculation'!G$19&gt;'Calculations - Outliers Removed'!H68,'Calculations - Outliers Removed'!H68,'cfs limit calculation'!G$19))</f>
        <v>81.053400083437637</v>
      </c>
      <c r="I69" s="46">
        <f>IF($P67="Pre",IF('cfs limit calculation'!H$17&gt;'Calculations - Outliers Removed'!I68,'Calculations - Outliers Removed'!I68,'cfs limit calculation'!H$17),IF('cfs limit calculation'!H$19&gt;'Calculations - Outliers Removed'!I68,'Calculations - Outliers Removed'!I68,'cfs limit calculation'!H$19))</f>
        <v>53.276508972267543</v>
      </c>
      <c r="J69" s="46">
        <f>IF($P67="Pre",IF('cfs limit calculation'!I$17&gt;'Calculations - Outliers Removed'!J68,'Calculations - Outliers Removed'!J68,'cfs limit calculation'!I$17),IF('cfs limit calculation'!I$19&gt;'Calculations - Outliers Removed'!J68,'Calculations - Outliers Removed'!J68,'cfs limit calculation'!I$19))</f>
        <v>9.4679593284464421</v>
      </c>
      <c r="K69" s="46">
        <f>IF($P67="Pre",IF('cfs limit calculation'!J$17&gt;'Calculations - Outliers Removed'!K68,'Calculations - Outliers Removed'!K68,'cfs limit calculation'!J$17),IF('cfs limit calculation'!J$19&gt;'Calculations - Outliers Removed'!K68,'Calculations - Outliers Removed'!K68,'cfs limit calculation'!J$19))</f>
        <v>1.1859210011732497</v>
      </c>
      <c r="L69" s="46">
        <f>IF($P67="Pre",IF('cfs limit calculation'!K$17&gt;'Calculations - Outliers Removed'!L68,'Calculations - Outliers Removed'!L68,'cfs limit calculation'!K$17),IF('cfs limit calculation'!K$19&gt;'Calculations - Outliers Removed'!L68,'Calculations - Outliers Removed'!L68,'cfs limit calculation'!K$19))</f>
        <v>46.115824419033572</v>
      </c>
      <c r="M69" s="46">
        <f>IF($P67="Pre",IF('cfs limit calculation'!L$17&gt;'Calculations - Outliers Removed'!M68,'Calculations - Outliers Removed'!M68,'cfs limit calculation'!L$17),IF('cfs limit calculation'!L$19&gt;'Calculations - Outliers Removed'!M68,'Calculations - Outliers Removed'!M68,'cfs limit calculation'!L$19))</f>
        <v>211.08164116828928</v>
      </c>
      <c r="N69" s="45">
        <f>IF($P67="Pre",IF('cfs limit calculation'!M$17&gt;'Calculations - Outliers Removed'!N68,'Calculations - Outliers Removed'!N68,'cfs limit calculation'!M$17),IF('cfs limit calculation'!M$19&gt;'Calculations - Outliers Removed'!N68,'Calculations - Outliers Removed'!N68,'cfs limit calculation'!M$19))</f>
        <v>204.12939649578195</v>
      </c>
      <c r="O69" s="85"/>
      <c r="P69" s="189"/>
      <c r="Q69" s="51"/>
      <c r="R69" s="90"/>
      <c r="S69" s="90"/>
      <c r="T69" s="90"/>
      <c r="U69" s="64"/>
      <c r="V69" s="90"/>
      <c r="W69" s="90"/>
      <c r="X69" s="90"/>
      <c r="Y69" s="15"/>
      <c r="Z69" s="15"/>
      <c r="AA69" s="15"/>
      <c r="AB69" s="15"/>
    </row>
    <row r="70" spans="1:28" ht="15" customHeight="1" thickBot="1" x14ac:dyDescent="0.35">
      <c r="A70" s="44"/>
      <c r="B70" s="50" t="s">
        <v>42</v>
      </c>
      <c r="C70" s="265">
        <f t="shared" ref="C70:N70" si="24">+C69/C67</f>
        <v>0.61789830508474575</v>
      </c>
      <c r="D70" s="266">
        <f t="shared" si="24"/>
        <v>0.56308474576271172</v>
      </c>
      <c r="E70" s="266">
        <f t="shared" si="24"/>
        <v>0.61789830508474575</v>
      </c>
      <c r="F70" s="266">
        <f t="shared" si="24"/>
        <v>0.67103954051478076</v>
      </c>
      <c r="G70" s="266">
        <f t="shared" si="24"/>
        <v>0.7974001153666157</v>
      </c>
      <c r="H70" s="266">
        <f t="shared" si="24"/>
        <v>0.66943058528068256</v>
      </c>
      <c r="I70" s="266">
        <f t="shared" si="24"/>
        <v>0.49885719085575853</v>
      </c>
      <c r="J70" s="266">
        <f t="shared" si="24"/>
        <v>0.14928538975623856</v>
      </c>
      <c r="K70" s="266">
        <f t="shared" si="24"/>
        <v>3.086272552205381E-3</v>
      </c>
      <c r="L70" s="266">
        <f t="shared" si="24"/>
        <v>0.11061628875233792</v>
      </c>
      <c r="M70" s="266">
        <f t="shared" si="24"/>
        <v>0.51586251606605082</v>
      </c>
      <c r="N70" s="267">
        <f t="shared" si="24"/>
        <v>0.38291117758679211</v>
      </c>
      <c r="O70" s="78"/>
      <c r="P70" s="191"/>
      <c r="Q70" s="51"/>
      <c r="R70" s="90"/>
      <c r="S70" s="90"/>
      <c r="T70" s="90"/>
      <c r="U70" s="61"/>
      <c r="V70" s="90"/>
      <c r="W70" s="90"/>
      <c r="X70" s="90"/>
      <c r="Y70" s="15"/>
      <c r="Z70" s="15"/>
      <c r="AA70" s="15"/>
      <c r="AB70" s="15"/>
    </row>
    <row r="71" spans="1:28" ht="15" customHeight="1" x14ac:dyDescent="0.3">
      <c r="A71" s="85">
        <v>2000</v>
      </c>
      <c r="B71" s="58" t="s">
        <v>45</v>
      </c>
      <c r="C71" s="47">
        <f>+'Monthly Historical Flow-Gen'!B38</f>
        <v>615.59134615384608</v>
      </c>
      <c r="D71" s="46">
        <f>+'Monthly Historical Flow-Gen'!C38</f>
        <v>826.96802884615374</v>
      </c>
      <c r="E71" s="46">
        <f>+'Monthly Historical Flow-Gen'!D38</f>
        <v>1218.7644230769231</v>
      </c>
      <c r="F71" s="46">
        <f>+'Monthly Historical Flow-Gen'!E38</f>
        <v>1537.2043269230769</v>
      </c>
      <c r="G71" s="46">
        <f>+'Monthly Historical Flow-Gen'!F38</f>
        <v>911.85576923076917</v>
      </c>
      <c r="H71" s="46">
        <f>+'Monthly Historical Flow-Gen'!G38</f>
        <v>954.43269230769226</v>
      </c>
      <c r="I71" s="46">
        <f>+'Monthly Historical Flow-Gen'!H38</f>
        <v>277.63701923076923</v>
      </c>
      <c r="J71" s="46">
        <f>+'Monthly Historical Flow-Gen'!I38</f>
        <v>241.09182692307692</v>
      </c>
      <c r="K71" s="46">
        <f>+'Monthly Historical Flow-Gen'!J38</f>
        <v>167.02572115384615</v>
      </c>
      <c r="L71" s="46">
        <f>+'Monthly Historical Flow-Gen'!K38</f>
        <v>212.9733173076923</v>
      </c>
      <c r="M71" s="46">
        <f>+'Monthly Historical Flow-Gen'!L38</f>
        <v>349.84038461538455</v>
      </c>
      <c r="N71" s="45">
        <f>+'Monthly Historical Flow-Gen'!M38</f>
        <v>615.85745192307684</v>
      </c>
      <c r="O71" s="86">
        <f>+A71</f>
        <v>2000</v>
      </c>
      <c r="P71" s="188"/>
      <c r="Q71" s="51"/>
      <c r="R71" s="90"/>
      <c r="S71" s="90"/>
      <c r="T71" s="90"/>
      <c r="U71" s="61"/>
      <c r="V71" s="90"/>
      <c r="W71" s="90"/>
      <c r="X71" s="90"/>
      <c r="Y71" s="15"/>
      <c r="Z71" s="15"/>
      <c r="AA71" s="15"/>
      <c r="AB71" s="15"/>
    </row>
    <row r="72" spans="1:28" ht="15" customHeight="1" x14ac:dyDescent="0.3">
      <c r="A72" s="85"/>
      <c r="B72" s="48" t="s">
        <v>43</v>
      </c>
      <c r="C72" s="47">
        <f>IF(C71&gt;$O72,$O72,C71)</f>
        <v>615.59134615384608</v>
      </c>
      <c r="D72" s="46">
        <f t="shared" ref="D72:N72" si="25">IF(D71&gt;$O72,$O72,D71)</f>
        <v>826.96802884615374</v>
      </c>
      <c r="E72" s="46">
        <f t="shared" si="25"/>
        <v>927.14285714285722</v>
      </c>
      <c r="F72" s="46">
        <f t="shared" si="25"/>
        <v>927.14285714285722</v>
      </c>
      <c r="G72" s="46">
        <f t="shared" si="25"/>
        <v>911.85576923076917</v>
      </c>
      <c r="H72" s="46">
        <f t="shared" si="25"/>
        <v>927.14285714285722</v>
      </c>
      <c r="I72" s="46">
        <f t="shared" si="25"/>
        <v>277.63701923076923</v>
      </c>
      <c r="J72" s="46">
        <f t="shared" si="25"/>
        <v>241.09182692307692</v>
      </c>
      <c r="K72" s="46">
        <f t="shared" si="25"/>
        <v>167.02572115384615</v>
      </c>
      <c r="L72" s="46">
        <f t="shared" si="25"/>
        <v>212.9733173076923</v>
      </c>
      <c r="M72" s="46">
        <f t="shared" si="25"/>
        <v>349.84038461538455</v>
      </c>
      <c r="N72" s="45">
        <f t="shared" si="25"/>
        <v>615.85745192307684</v>
      </c>
      <c r="O72" s="185">
        <f>IF(P72="Pre",'cfs limit calculation'!$E$6,'cfs limit calculation'!$E$11)</f>
        <v>927.14285714285722</v>
      </c>
      <c r="P72" s="190" t="str">
        <f>+Calculations!P72</f>
        <v>Pre</v>
      </c>
      <c r="Q72" s="51"/>
      <c r="R72" s="90"/>
      <c r="S72" s="90"/>
      <c r="T72" s="90"/>
      <c r="U72" s="61"/>
      <c r="V72" s="90"/>
      <c r="W72" s="90"/>
      <c r="X72" s="90"/>
      <c r="Y72" s="15"/>
      <c r="Z72" s="15"/>
      <c r="AA72" s="15"/>
      <c r="AB72" s="15"/>
    </row>
    <row r="73" spans="1:28" ht="15" customHeight="1" x14ac:dyDescent="0.3">
      <c r="A73" s="85"/>
      <c r="B73" s="8" t="s">
        <v>44</v>
      </c>
      <c r="C73" s="47">
        <f>+'Monthly Historical Flow-Gen'!B64</f>
        <v>428.44589702333059</v>
      </c>
      <c r="D73" s="46">
        <f>+'Monthly Historical Flow-Gen'!C64</f>
        <v>581.48998107084901</v>
      </c>
      <c r="E73" s="46">
        <f>+'Monthly Historical Flow-Gen'!D64</f>
        <v>805.88143261074458</v>
      </c>
      <c r="F73" s="46">
        <f>+'Monthly Historical Flow-Gen'!E64</f>
        <v>1031.5248852157943</v>
      </c>
      <c r="G73" s="46">
        <f>+'Monthly Historical Flow-Gen'!F64</f>
        <v>727.11389558232941</v>
      </c>
      <c r="H73" s="46">
        <f>+'Monthly Historical Flow-Gen'!G64</f>
        <v>638.92643582255607</v>
      </c>
      <c r="I73" s="46">
        <f>+'Monthly Historical Flow-Gen'!H64</f>
        <v>138.50122349102773</v>
      </c>
      <c r="J73" s="46">
        <f>+'Monthly Historical Flow-Gen'!I64</f>
        <v>35.991487349255145</v>
      </c>
      <c r="K73" s="46">
        <f>+'Monthly Historical Flow-Gen'!J64</f>
        <v>0.5154868987094251</v>
      </c>
      <c r="L73" s="46">
        <f>+'Monthly Historical Flow-Gen'!K64</f>
        <v>23.558317963850978</v>
      </c>
      <c r="M73" s="46">
        <f>+'Monthly Historical Flow-Gen'!L64</f>
        <v>180.46954102920722</v>
      </c>
      <c r="N73" s="45">
        <f>+'Monthly Historical Flow-Gen'!M64</f>
        <v>235.81870214146656</v>
      </c>
      <c r="O73" s="85"/>
      <c r="P73" s="189"/>
      <c r="Q73" s="51"/>
      <c r="R73" s="90"/>
      <c r="S73" s="90"/>
      <c r="T73" s="90"/>
      <c r="U73" s="61"/>
      <c r="V73" s="90"/>
      <c r="W73" s="90"/>
      <c r="X73" s="90"/>
      <c r="Y73" s="15"/>
      <c r="Z73" s="15"/>
      <c r="AA73" s="15"/>
      <c r="AB73" s="15"/>
    </row>
    <row r="74" spans="1:28" ht="15" customHeight="1" x14ac:dyDescent="0.3">
      <c r="B74" s="22" t="s">
        <v>67</v>
      </c>
      <c r="C74" s="47">
        <f>IF($P72="Pre",IF('cfs limit calculation'!B$17&gt;'Calculations - Outliers Removed'!C73,'Calculations - Outliers Removed'!C73,'cfs limit calculation'!B$17),IF('cfs limit calculation'!B$19&gt;'Calculations - Outliers Removed'!C73,'Calculations - Outliers Removed'!C73,'cfs limit calculation'!B$19))</f>
        <v>428.44589702333059</v>
      </c>
      <c r="D74" s="46">
        <f>IF($P72="Pre",IF('cfs limit calculation'!C$17&gt;'Calculations - Outliers Removed'!D73,'Calculations - Outliers Removed'!D73,'cfs limit calculation'!C$17),IF('cfs limit calculation'!C$19&gt;'Calculations - Outliers Removed'!D73,'Calculations - Outliers Removed'!D73,'cfs limit calculation'!C$19))</f>
        <v>522.05999999999995</v>
      </c>
      <c r="E74" s="46">
        <f>IF($P72="Pre",IF('cfs limit calculation'!D$17&gt;'Calculations - Outliers Removed'!E73,'Calculations - Outliers Removed'!E73,'cfs limit calculation'!D$17),IF('cfs limit calculation'!D$19&gt;'Calculations - Outliers Removed'!E73,'Calculations - Outliers Removed'!E73,'cfs limit calculation'!D$19))</f>
        <v>572.88</v>
      </c>
      <c r="F74" s="46">
        <f>IF($P72="Pre",IF('cfs limit calculation'!E$17&gt;'Calculations - Outliers Removed'!F73,'Calculations - Outliers Removed'!F73,'cfs limit calculation'!E$17),IF('cfs limit calculation'!E$19&gt;'Calculations - Outliers Removed'!F73,'Calculations - Outliers Removed'!F73,'cfs limit calculation'!E$19))</f>
        <v>554.4</v>
      </c>
      <c r="G74" s="46">
        <f>IF($P72="Pre",IF('cfs limit calculation'!F$17&gt;'Calculations - Outliers Removed'!G73,'Calculations - Outliers Removed'!G73,'cfs limit calculation'!F$17),IF('cfs limit calculation'!F$19&gt;'Calculations - Outliers Removed'!G73,'Calculations - Outliers Removed'!G73,'cfs limit calculation'!F$19))</f>
        <v>572.88</v>
      </c>
      <c r="H74" s="46">
        <f>IF($P72="Pre",IF('cfs limit calculation'!G$17&gt;'Calculations - Outliers Removed'!H73,'Calculations - Outliers Removed'!H73,'cfs limit calculation'!G$17),IF('cfs limit calculation'!G$19&gt;'Calculations - Outliers Removed'!H73,'Calculations - Outliers Removed'!H73,'cfs limit calculation'!G$19))</f>
        <v>554.4</v>
      </c>
      <c r="I74" s="46">
        <f>IF($P72="Pre",IF('cfs limit calculation'!H$17&gt;'Calculations - Outliers Removed'!I73,'Calculations - Outliers Removed'!I73,'cfs limit calculation'!H$17),IF('cfs limit calculation'!H$19&gt;'Calculations - Outliers Removed'!I73,'Calculations - Outliers Removed'!I73,'cfs limit calculation'!H$19))</f>
        <v>138.50122349102773</v>
      </c>
      <c r="J74" s="46">
        <f>IF($P72="Pre",IF('cfs limit calculation'!I$17&gt;'Calculations - Outliers Removed'!J73,'Calculations - Outliers Removed'!J73,'cfs limit calculation'!I$17),IF('cfs limit calculation'!I$19&gt;'Calculations - Outliers Removed'!J73,'Calculations - Outliers Removed'!J73,'cfs limit calculation'!I$19))</f>
        <v>35.991487349255145</v>
      </c>
      <c r="K74" s="46">
        <f>IF($P72="Pre",IF('cfs limit calculation'!J$17&gt;'Calculations - Outliers Removed'!K73,'Calculations - Outliers Removed'!K73,'cfs limit calculation'!J$17),IF('cfs limit calculation'!J$19&gt;'Calculations - Outliers Removed'!K73,'Calculations - Outliers Removed'!K73,'cfs limit calculation'!J$19))</f>
        <v>0.5154868987094251</v>
      </c>
      <c r="L74" s="46">
        <f>IF($P72="Pre",IF('cfs limit calculation'!K$17&gt;'Calculations - Outliers Removed'!L73,'Calculations - Outliers Removed'!L73,'cfs limit calculation'!K$17),IF('cfs limit calculation'!K$19&gt;'Calculations - Outliers Removed'!L73,'Calculations - Outliers Removed'!L73,'cfs limit calculation'!K$19))</f>
        <v>23.558317963850978</v>
      </c>
      <c r="M74" s="46">
        <f>IF($P72="Pre",IF('cfs limit calculation'!L$17&gt;'Calculations - Outliers Removed'!M73,'Calculations - Outliers Removed'!M73,'cfs limit calculation'!L$17),IF('cfs limit calculation'!L$19&gt;'Calculations - Outliers Removed'!M73,'Calculations - Outliers Removed'!M73,'cfs limit calculation'!L$19))</f>
        <v>180.46954102920722</v>
      </c>
      <c r="N74" s="45">
        <f>IF($P72="Pre",IF('cfs limit calculation'!M$17&gt;'Calculations - Outliers Removed'!N73,'Calculations - Outliers Removed'!N73,'cfs limit calculation'!M$17),IF('cfs limit calculation'!M$19&gt;'Calculations - Outliers Removed'!N73,'Calculations - Outliers Removed'!N73,'cfs limit calculation'!M$19))</f>
        <v>235.81870214146656</v>
      </c>
      <c r="O74" s="65"/>
      <c r="P74" s="48"/>
      <c r="Q74" s="51"/>
      <c r="R74" s="90"/>
      <c r="S74" s="90"/>
      <c r="T74" s="90"/>
      <c r="U74" s="61"/>
      <c r="V74" s="90"/>
      <c r="W74" s="90"/>
      <c r="X74" s="90"/>
      <c r="Y74" s="15"/>
      <c r="Z74" s="15"/>
      <c r="AA74" s="15"/>
      <c r="AB74" s="15"/>
    </row>
    <row r="75" spans="1:28" ht="15" customHeight="1" thickBot="1" x14ac:dyDescent="0.35">
      <c r="A75" s="78"/>
      <c r="B75" s="50" t="s">
        <v>42</v>
      </c>
      <c r="C75" s="265">
        <f t="shared" ref="C75:N75" si="26">+C74/C72</f>
        <v>0.69599077326251946</v>
      </c>
      <c r="D75" s="266">
        <f t="shared" si="26"/>
        <v>0.6312940546545871</v>
      </c>
      <c r="E75" s="266">
        <f t="shared" si="26"/>
        <v>0.61789830508474575</v>
      </c>
      <c r="F75" s="266">
        <f t="shared" si="26"/>
        <v>0.59796610169491515</v>
      </c>
      <c r="G75" s="266">
        <f t="shared" si="26"/>
        <v>0.62825725222232776</v>
      </c>
      <c r="H75" s="266">
        <f t="shared" si="26"/>
        <v>0.59796610169491515</v>
      </c>
      <c r="I75" s="266">
        <f t="shared" si="26"/>
        <v>0.49885719085575847</v>
      </c>
      <c r="J75" s="266">
        <f t="shared" si="26"/>
        <v>0.14928538975623856</v>
      </c>
      <c r="K75" s="266">
        <f t="shared" si="26"/>
        <v>3.0862725522053814E-3</v>
      </c>
      <c r="L75" s="266">
        <f t="shared" si="26"/>
        <v>0.11061628875233792</v>
      </c>
      <c r="M75" s="266">
        <f t="shared" si="26"/>
        <v>0.51586251606605082</v>
      </c>
      <c r="N75" s="267">
        <f t="shared" si="26"/>
        <v>0.38291117758679211</v>
      </c>
      <c r="O75" s="78"/>
      <c r="P75" s="191"/>
      <c r="Q75" s="51"/>
      <c r="R75" s="90"/>
      <c r="S75" s="90"/>
      <c r="T75" s="90"/>
      <c r="U75" s="61"/>
      <c r="V75" s="90"/>
      <c r="W75" s="90"/>
      <c r="X75" s="90"/>
      <c r="Y75" s="15"/>
      <c r="Z75" s="15"/>
      <c r="AA75" s="15"/>
      <c r="AB75" s="15"/>
    </row>
    <row r="76" spans="1:28" ht="15" customHeight="1" x14ac:dyDescent="0.3">
      <c r="A76" s="86">
        <v>2001</v>
      </c>
      <c r="B76" s="58" t="s">
        <v>45</v>
      </c>
      <c r="C76" s="47">
        <f>+'Monthly Historical Flow-Gen'!B39</f>
        <v>369.17740384615382</v>
      </c>
      <c r="D76" s="92">
        <f>+'Monthly Historical Flow-Gen'!C39</f>
        <v>574.43365384615379</v>
      </c>
      <c r="E76" s="92">
        <f>+'Monthly Historical Flow-Gen'!D39</f>
        <v>2060.5456730769229</v>
      </c>
      <c r="F76" s="92">
        <f>+'Monthly Historical Flow-Gen'!E39</f>
        <v>1703.0769230769231</v>
      </c>
      <c r="G76" s="92">
        <f>+'Monthly Historical Flow-Gen'!F39</f>
        <v>392.86081730769229</v>
      </c>
      <c r="H76" s="92">
        <f>+'Monthly Historical Flow-Gen'!G39</f>
        <v>900.32451923076917</v>
      </c>
      <c r="I76" s="92">
        <f>+'Monthly Historical Flow-Gen'!H39</f>
        <v>358.35576923076923</v>
      </c>
      <c r="J76" s="92">
        <f>+'Monthly Historical Flow-Gen'!I39</f>
        <v>211.64278846153846</v>
      </c>
      <c r="K76" s="92">
        <f>+'Monthly Historical Flow-Gen'!J39</f>
        <v>132.609375</v>
      </c>
      <c r="L76" s="92">
        <f>+'Monthly Historical Flow-Gen'!K39</f>
        <v>132.43197115384615</v>
      </c>
      <c r="M76" s="92">
        <f>+'Monthly Historical Flow-Gen'!L39</f>
        <v>139.52812500000002</v>
      </c>
      <c r="N76" s="93">
        <f>+'Monthly Historical Flow-Gen'!M39</f>
        <v>197.09567307692305</v>
      </c>
      <c r="O76" s="85">
        <f>+A76</f>
        <v>2001</v>
      </c>
      <c r="P76" s="189"/>
      <c r="Q76" s="15"/>
      <c r="R76" s="90"/>
      <c r="S76" s="90"/>
      <c r="T76" s="90"/>
      <c r="U76" s="61"/>
      <c r="V76" s="90"/>
      <c r="W76" s="90"/>
      <c r="X76" s="90"/>
      <c r="Y76" s="15"/>
      <c r="Z76" s="15"/>
      <c r="AA76" s="15"/>
      <c r="AB76" s="15"/>
    </row>
    <row r="77" spans="1:28" ht="15" customHeight="1" x14ac:dyDescent="0.3">
      <c r="B77" s="48" t="s">
        <v>43</v>
      </c>
      <c r="C77" s="47">
        <f>IF(C76&gt;$O77,$O77,C76)</f>
        <v>369.17740384615382</v>
      </c>
      <c r="D77" s="46">
        <f t="shared" ref="D77:N77" si="27">IF(D76&gt;$O77,$O77,D76)</f>
        <v>574.43365384615379</v>
      </c>
      <c r="E77" s="46">
        <f t="shared" si="27"/>
        <v>927.14285714285722</v>
      </c>
      <c r="F77" s="46">
        <f t="shared" si="27"/>
        <v>927.14285714285722</v>
      </c>
      <c r="G77" s="46">
        <f t="shared" si="27"/>
        <v>392.86081730769229</v>
      </c>
      <c r="H77" s="46">
        <f t="shared" si="27"/>
        <v>900.32451923076917</v>
      </c>
      <c r="I77" s="46">
        <f t="shared" si="27"/>
        <v>358.35576923076923</v>
      </c>
      <c r="J77" s="46">
        <f t="shared" si="27"/>
        <v>211.64278846153846</v>
      </c>
      <c r="K77" s="46">
        <f t="shared" si="27"/>
        <v>132.609375</v>
      </c>
      <c r="L77" s="46">
        <f t="shared" si="27"/>
        <v>132.43197115384615</v>
      </c>
      <c r="M77" s="46">
        <f t="shared" si="27"/>
        <v>139.52812500000002</v>
      </c>
      <c r="N77" s="45">
        <f t="shared" si="27"/>
        <v>197.09567307692305</v>
      </c>
      <c r="O77" s="185">
        <f>IF(P77="Pre",'cfs limit calculation'!$E$6,'cfs limit calculation'!$E$11)</f>
        <v>927.14285714285722</v>
      </c>
      <c r="P77" s="190" t="str">
        <f>+Calculations!P77</f>
        <v>Pre</v>
      </c>
      <c r="Q77" s="15"/>
      <c r="R77" s="90"/>
      <c r="S77" s="90"/>
      <c r="T77" s="90"/>
      <c r="U77" s="61"/>
      <c r="V77" s="90"/>
      <c r="W77" s="90"/>
      <c r="X77" s="90"/>
      <c r="Y77" s="15"/>
      <c r="Z77" s="15"/>
      <c r="AA77" s="15"/>
      <c r="AB77" s="15"/>
    </row>
    <row r="78" spans="1:28" ht="15" customHeight="1" x14ac:dyDescent="0.35">
      <c r="A78" s="65"/>
      <c r="B78" s="8" t="s">
        <v>44</v>
      </c>
      <c r="C78" s="47">
        <f>+'Monthly Historical Flow-Gen'!B65</f>
        <v>256.94406677393403</v>
      </c>
      <c r="D78" s="73">
        <f>+'Monthly Historical Flow-Gen'!C65</f>
        <v>403.91817198485666</v>
      </c>
      <c r="E78" s="73">
        <f>+'Monthly Historical Flow-Gen'!D65</f>
        <v>1362.4909519321393</v>
      </c>
      <c r="F78" s="73">
        <f>+'Monthly Historical Flow-Gen'!E65</f>
        <v>1142.8319559228651</v>
      </c>
      <c r="G78" s="73">
        <f>+'Monthly Historical Flow-Gen'!F65</f>
        <v>313.26726104417679</v>
      </c>
      <c r="H78" s="73">
        <f>+'Monthly Historical Flow-Gen'!G65</f>
        <v>602.70476985120297</v>
      </c>
      <c r="I78" s="73">
        <f>+'Monthly Historical Flow-Gen'!H65</f>
        <v>178.76835236541601</v>
      </c>
      <c r="J78" s="73">
        <f>+'Monthly Historical Flow-Gen'!I65</f>
        <v>31.595176164577918</v>
      </c>
      <c r="K78" s="73">
        <f>+'Monthly Historical Flow-Gen'!J65</f>
        <v>0.40926867422761048</v>
      </c>
      <c r="L78" s="73">
        <f>+'Monthly Historical Flow-Gen'!K65</f>
        <v>14.649133161195131</v>
      </c>
      <c r="M78" s="73">
        <f>+'Monthly Historical Flow-Gen'!L65</f>
        <v>71.977329624478458</v>
      </c>
      <c r="N78" s="74">
        <f>+'Monthly Historical Flow-Gen'!M65</f>
        <v>75.470136275146004</v>
      </c>
      <c r="O78" s="85"/>
      <c r="P78" s="189"/>
      <c r="Q78" s="62"/>
      <c r="R78" s="90"/>
      <c r="S78" s="90"/>
      <c r="T78" s="90"/>
      <c r="U78" s="61"/>
      <c r="V78" s="90"/>
      <c r="W78" s="90"/>
      <c r="X78" s="90"/>
      <c r="Y78" s="15"/>
      <c r="Z78" s="15"/>
      <c r="AA78" s="15"/>
      <c r="AB78" s="15"/>
    </row>
    <row r="79" spans="1:28" ht="15" customHeight="1" x14ac:dyDescent="0.35">
      <c r="B79" s="22" t="s">
        <v>67</v>
      </c>
      <c r="C79" s="47">
        <f>IF($P77="Pre",IF('cfs limit calculation'!B$17&gt;'Calculations - Outliers Removed'!C78,'Calculations - Outliers Removed'!C78,'cfs limit calculation'!B$17),IF('cfs limit calculation'!B$19&gt;'Calculations - Outliers Removed'!C78,'Calculations - Outliers Removed'!C78,'cfs limit calculation'!B$19))</f>
        <v>256.94406677393403</v>
      </c>
      <c r="D79" s="32">
        <f>IF($P77="Pre",IF('cfs limit calculation'!C$17&gt;'Calculations - Outliers Removed'!D78,'Calculations - Outliers Removed'!D78,'cfs limit calculation'!C$17),IF('cfs limit calculation'!C$19&gt;'Calculations - Outliers Removed'!D78,'Calculations - Outliers Removed'!D78,'cfs limit calculation'!C$19))</f>
        <v>403.91817198485666</v>
      </c>
      <c r="E79" s="31">
        <f>IF($P77="Pre",IF('cfs limit calculation'!D$17&gt;'Calculations - Outliers Removed'!E78,'Calculations - Outliers Removed'!E78,'cfs limit calculation'!D$17),IF('cfs limit calculation'!D$19&gt;'Calculations - Outliers Removed'!E78,'Calculations - Outliers Removed'!E78,'cfs limit calculation'!D$19))</f>
        <v>572.88</v>
      </c>
      <c r="F79" s="32">
        <f>IF($P77="Pre",IF('cfs limit calculation'!E$17&gt;'Calculations - Outliers Removed'!F78,'Calculations - Outliers Removed'!F78,'cfs limit calculation'!E$17),IF('cfs limit calculation'!E$19&gt;'Calculations - Outliers Removed'!F78,'Calculations - Outliers Removed'!F78,'cfs limit calculation'!E$19))</f>
        <v>554.4</v>
      </c>
      <c r="G79" s="32">
        <f>IF($P77="Pre",IF('cfs limit calculation'!F$17&gt;'Calculations - Outliers Removed'!G78,'Calculations - Outliers Removed'!G78,'cfs limit calculation'!F$17),IF('cfs limit calculation'!F$19&gt;'Calculations - Outliers Removed'!G78,'Calculations - Outliers Removed'!G78,'cfs limit calculation'!F$19))</f>
        <v>313.26726104417679</v>
      </c>
      <c r="H79" s="32">
        <f>IF($P77="Pre",IF('cfs limit calculation'!G$17&gt;'Calculations - Outliers Removed'!H78,'Calculations - Outliers Removed'!H78,'cfs limit calculation'!G$17),IF('cfs limit calculation'!G$19&gt;'Calculations - Outliers Removed'!H78,'Calculations - Outliers Removed'!H78,'cfs limit calculation'!G$19))</f>
        <v>554.4</v>
      </c>
      <c r="I79" s="32">
        <f>IF($P77="Pre",IF('cfs limit calculation'!H$17&gt;'Calculations - Outliers Removed'!I78,'Calculations - Outliers Removed'!I78,'cfs limit calculation'!H$17),IF('cfs limit calculation'!H$19&gt;'Calculations - Outliers Removed'!I78,'Calculations - Outliers Removed'!I78,'cfs limit calculation'!H$19))</f>
        <v>178.76835236541601</v>
      </c>
      <c r="J79" s="32">
        <f>IF($P77="Pre",IF('cfs limit calculation'!I$17&gt;'Calculations - Outliers Removed'!J78,'Calculations - Outliers Removed'!J78,'cfs limit calculation'!I$17),IF('cfs limit calculation'!I$19&gt;'Calculations - Outliers Removed'!J78,'Calculations - Outliers Removed'!J78,'cfs limit calculation'!I$19))</f>
        <v>31.595176164577918</v>
      </c>
      <c r="K79" s="32">
        <f>IF($P77="Pre",IF('cfs limit calculation'!J$17&gt;'Calculations - Outliers Removed'!K78,'Calculations - Outliers Removed'!K78,'cfs limit calculation'!J$17),IF('cfs limit calculation'!J$19&gt;'Calculations - Outliers Removed'!K78,'Calculations - Outliers Removed'!K78,'cfs limit calculation'!J$19))</f>
        <v>0.40926867422761048</v>
      </c>
      <c r="L79" s="32">
        <f>IF($P77="Pre",IF('cfs limit calculation'!K$17&gt;'Calculations - Outliers Removed'!L78,'Calculations - Outliers Removed'!L78,'cfs limit calculation'!K$17),IF('cfs limit calculation'!K$19&gt;'Calculations - Outliers Removed'!L78,'Calculations - Outliers Removed'!L78,'cfs limit calculation'!K$19))</f>
        <v>14.649133161195131</v>
      </c>
      <c r="M79" s="32">
        <f>IF($P77="Pre",IF('cfs limit calculation'!L$17&gt;'Calculations - Outliers Removed'!M78,'Calculations - Outliers Removed'!M78,'cfs limit calculation'!L$17),IF('cfs limit calculation'!L$19&gt;'Calculations - Outliers Removed'!M78,'Calculations - Outliers Removed'!M78,'cfs limit calculation'!L$19))</f>
        <v>71.977329624478458</v>
      </c>
      <c r="N79" s="74">
        <f>IF($P77="Pre",IF('cfs limit calculation'!M$17&gt;'Calculations - Outliers Removed'!N78,'Calculations - Outliers Removed'!N78,'cfs limit calculation'!M$17),IF('cfs limit calculation'!M$19&gt;'Calculations - Outliers Removed'!N78,'Calculations - Outliers Removed'!N78,'cfs limit calculation'!M$19))</f>
        <v>75.470136275146004</v>
      </c>
      <c r="O79" s="85"/>
      <c r="P79" s="189"/>
      <c r="Q79" s="62"/>
      <c r="R79" s="61"/>
      <c r="S79" s="61"/>
      <c r="T79" s="61"/>
      <c r="U79" s="61"/>
      <c r="V79" s="15"/>
      <c r="W79" s="15"/>
      <c r="X79" s="15"/>
      <c r="Y79" s="15"/>
      <c r="Z79" s="15"/>
      <c r="AA79" s="15"/>
      <c r="AB79" s="15"/>
    </row>
    <row r="80" spans="1:28" ht="15" customHeight="1" thickBot="1" x14ac:dyDescent="0.4">
      <c r="A80" s="65"/>
      <c r="B80" s="50" t="s">
        <v>42</v>
      </c>
      <c r="C80" s="265">
        <f t="shared" ref="C80:N80" si="28">+C79/C77</f>
        <v>0.69599077326251946</v>
      </c>
      <c r="D80" s="272">
        <f t="shared" si="28"/>
        <v>0.70315896236301467</v>
      </c>
      <c r="E80" s="272">
        <f t="shared" si="28"/>
        <v>0.61789830508474575</v>
      </c>
      <c r="F80" s="272">
        <f t="shared" si="28"/>
        <v>0.59796610169491515</v>
      </c>
      <c r="G80" s="272">
        <f t="shared" si="28"/>
        <v>0.79740011536661581</v>
      </c>
      <c r="H80" s="272">
        <f t="shared" si="28"/>
        <v>0.6157779646761985</v>
      </c>
      <c r="I80" s="272">
        <f t="shared" si="28"/>
        <v>0.49885719085575853</v>
      </c>
      <c r="J80" s="272">
        <f t="shared" si="28"/>
        <v>0.14928538975623856</v>
      </c>
      <c r="K80" s="272">
        <f t="shared" si="28"/>
        <v>3.0862725522053814E-3</v>
      </c>
      <c r="L80" s="272">
        <f t="shared" si="28"/>
        <v>0.11061628875233792</v>
      </c>
      <c r="M80" s="272">
        <f t="shared" si="28"/>
        <v>0.51586251606605082</v>
      </c>
      <c r="N80" s="273">
        <f t="shared" si="28"/>
        <v>0.38291117758679211</v>
      </c>
      <c r="O80" s="78"/>
      <c r="P80" s="191"/>
      <c r="Q80" s="62"/>
      <c r="R80" s="61"/>
      <c r="S80" s="61"/>
      <c r="T80" s="61"/>
      <c r="U80" s="61"/>
      <c r="V80" s="15"/>
      <c r="W80" s="15"/>
      <c r="X80" s="15"/>
      <c r="Y80" s="15"/>
      <c r="Z80" s="15"/>
      <c r="AA80" s="15"/>
      <c r="AB80" s="15"/>
    </row>
    <row r="81" spans="1:29" ht="15" customHeight="1" x14ac:dyDescent="0.35">
      <c r="A81" s="86">
        <v>2002</v>
      </c>
      <c r="B81" s="58" t="s">
        <v>45</v>
      </c>
      <c r="C81" s="47">
        <f>+'Monthly Historical Flow-Gen'!B40</f>
        <v>239.58389423076923</v>
      </c>
      <c r="D81" s="94">
        <f>+'Monthly Historical Flow-Gen'!C40</f>
        <v>305.66682692307694</v>
      </c>
      <c r="E81" s="94">
        <f>+'Monthly Historical Flow-Gen'!D40</f>
        <v>551.9920673076922</v>
      </c>
      <c r="F81" s="94">
        <f>+'Monthly Historical Flow-Gen'!E40</f>
        <v>598.38317307692307</v>
      </c>
      <c r="G81" s="94">
        <f>+'Monthly Historical Flow-Gen'!F40</f>
        <v>990.80048076923072</v>
      </c>
      <c r="H81" s="94">
        <f>+'Monthly Historical Flow-Gen'!G40</f>
        <v>620.11514423076926</v>
      </c>
      <c r="I81" s="94">
        <f>+'Monthly Historical Flow-Gen'!H40</f>
        <v>136.15745192307691</v>
      </c>
      <c r="J81" s="94">
        <f>+'Monthly Historical Flow-Gen'!I40</f>
        <v>90.387259615384622</v>
      </c>
      <c r="K81" s="94">
        <f>+'Monthly Historical Flow-Gen'!J40</f>
        <v>116.465625</v>
      </c>
      <c r="L81" s="94">
        <f>+'Monthly Historical Flow-Gen'!K40</f>
        <v>245.34951923076923</v>
      </c>
      <c r="M81" s="94">
        <f>+'Monthly Historical Flow-Gen'!L40</f>
        <v>556.16105769230762</v>
      </c>
      <c r="N81" s="74">
        <f>+'Monthly Historical Flow-Gen'!M40</f>
        <v>1018.2980769230769</v>
      </c>
      <c r="O81" s="85">
        <f>+A81</f>
        <v>2002</v>
      </c>
      <c r="P81" s="189"/>
      <c r="Q81" s="62"/>
      <c r="R81" s="61"/>
      <c r="S81" s="61"/>
      <c r="T81" s="61"/>
      <c r="U81" s="61"/>
      <c r="V81" s="15"/>
      <c r="W81" s="15"/>
      <c r="X81" s="15"/>
      <c r="Y81" s="15"/>
      <c r="Z81" s="15"/>
      <c r="AA81" s="15"/>
      <c r="AB81" s="15"/>
    </row>
    <row r="82" spans="1:29" ht="15" customHeight="1" x14ac:dyDescent="0.35">
      <c r="A82" s="85"/>
      <c r="B82" s="48" t="s">
        <v>43</v>
      </c>
      <c r="C82" s="47">
        <f>IF(C81&gt;$O82,$O82,C81)</f>
        <v>239.58389423076923</v>
      </c>
      <c r="D82" s="46">
        <f t="shared" ref="D82:N82" si="29">IF(D81&gt;$O82,$O82,D81)</f>
        <v>305.66682692307694</v>
      </c>
      <c r="E82" s="46">
        <f t="shared" si="29"/>
        <v>551.9920673076922</v>
      </c>
      <c r="F82" s="46">
        <f t="shared" si="29"/>
        <v>598.38317307692307</v>
      </c>
      <c r="G82" s="46">
        <f t="shared" si="29"/>
        <v>927.14285714285722</v>
      </c>
      <c r="H82" s="46">
        <f t="shared" si="29"/>
        <v>620.11514423076926</v>
      </c>
      <c r="I82" s="46">
        <f t="shared" si="29"/>
        <v>136.15745192307691</v>
      </c>
      <c r="J82" s="46">
        <f t="shared" si="29"/>
        <v>90.387259615384622</v>
      </c>
      <c r="K82" s="46">
        <f t="shared" si="29"/>
        <v>116.465625</v>
      </c>
      <c r="L82" s="46">
        <f t="shared" si="29"/>
        <v>245.34951923076923</v>
      </c>
      <c r="M82" s="46">
        <f t="shared" si="29"/>
        <v>556.16105769230762</v>
      </c>
      <c r="N82" s="45">
        <f t="shared" si="29"/>
        <v>927.14285714285722</v>
      </c>
      <c r="O82" s="185">
        <f>IF(P82="Pre",'cfs limit calculation'!$E$6,'cfs limit calculation'!$E$11)</f>
        <v>927.14285714285722</v>
      </c>
      <c r="P82" s="190" t="str">
        <f>+Calculations!P82</f>
        <v>Pre</v>
      </c>
      <c r="Q82" s="62"/>
      <c r="R82" s="61"/>
      <c r="S82" s="61"/>
      <c r="T82" s="61"/>
      <c r="U82" s="61"/>
      <c r="V82" s="15"/>
      <c r="W82" s="15"/>
      <c r="X82" s="15"/>
      <c r="Y82" s="15"/>
      <c r="Z82" s="15"/>
      <c r="AA82" s="15"/>
      <c r="AB82" s="15"/>
    </row>
    <row r="83" spans="1:29" ht="15" customHeight="1" x14ac:dyDescent="0.35">
      <c r="A83" s="85"/>
      <c r="B83" s="8" t="s">
        <v>44</v>
      </c>
      <c r="C83" s="47">
        <f>+'Monthly Historical Flow-Gen'!B66</f>
        <v>166.74817980691876</v>
      </c>
      <c r="D83" s="73">
        <f>+'Monthly Historical Flow-Gen'!C66</f>
        <v>214.93236884802599</v>
      </c>
      <c r="E83" s="73">
        <f>+'Monthly Historical Flow-Gen'!D66</f>
        <v>364.99273327049946</v>
      </c>
      <c r="F83" s="73">
        <f>+'Monthly Historical Flow-Gen'!E66</f>
        <v>401.538769513315</v>
      </c>
      <c r="G83" s="73">
        <f>+'Monthly Historical Flow-Gen'!F66</f>
        <v>790.06441767068293</v>
      </c>
      <c r="H83" s="73">
        <f>+'Monthly Historical Flow-Gen'!G66</f>
        <v>415.12404394381872</v>
      </c>
      <c r="I83" s="73">
        <f>+'Monthly Historical Flow-Gen'!H66</f>
        <v>67.923123980424137</v>
      </c>
      <c r="J83" s="73">
        <f>+'Monthly Historical Flow-Gen'!I66</f>
        <v>13.493497280681014</v>
      </c>
      <c r="K83" s="73">
        <f>+'Monthly Historical Flow-Gen'!J66</f>
        <v>0.35944466171294487</v>
      </c>
      <c r="L83" s="73">
        <f>+'Monthly Historical Flow-Gen'!K66</f>
        <v>27.139653264478056</v>
      </c>
      <c r="M83" s="73">
        <f>+'Monthly Historical Flow-Gen'!L66</f>
        <v>286.90264255910984</v>
      </c>
      <c r="N83" s="74">
        <f>+'Monthly Historical Flow-Gen'!M66</f>
        <v>389.91771576898117</v>
      </c>
      <c r="O83" s="85"/>
      <c r="P83" s="189"/>
      <c r="Q83" s="62"/>
      <c r="R83" s="61"/>
      <c r="S83" s="61"/>
      <c r="T83" s="61"/>
      <c r="U83" s="61"/>
      <c r="V83" s="15"/>
      <c r="W83" s="15"/>
      <c r="X83" s="15"/>
      <c r="Y83" s="15"/>
      <c r="Z83" s="15"/>
      <c r="AA83" s="15"/>
      <c r="AB83" s="15"/>
    </row>
    <row r="84" spans="1:29" ht="15" customHeight="1" x14ac:dyDescent="0.35">
      <c r="B84" s="22" t="s">
        <v>67</v>
      </c>
      <c r="C84" s="47">
        <f>IF($P82="Pre",IF('cfs limit calculation'!B$17&gt;'Calculations - Outliers Removed'!C83,'Calculations - Outliers Removed'!C83,'cfs limit calculation'!B$17),IF('cfs limit calculation'!B$19&gt;'Calculations - Outliers Removed'!C83,'Calculations - Outliers Removed'!C83,'cfs limit calculation'!B$19))</f>
        <v>166.74817980691876</v>
      </c>
      <c r="D84" s="32">
        <f>IF($P82="Pre",IF('cfs limit calculation'!C$17&gt;'Calculations - Outliers Removed'!D83,'Calculations - Outliers Removed'!D83,'cfs limit calculation'!C$17),IF('cfs limit calculation'!C$19&gt;'Calculations - Outliers Removed'!D83,'Calculations - Outliers Removed'!D83,'cfs limit calculation'!C$19))</f>
        <v>214.93236884802599</v>
      </c>
      <c r="E84" s="31">
        <f>IF($P82="Pre",IF('cfs limit calculation'!D$17&gt;'Calculations - Outliers Removed'!E83,'Calculations - Outliers Removed'!E83,'cfs limit calculation'!D$17),IF('cfs limit calculation'!D$19&gt;'Calculations - Outliers Removed'!E83,'Calculations - Outliers Removed'!E83,'cfs limit calculation'!D$19))</f>
        <v>364.99273327049946</v>
      </c>
      <c r="F84" s="32">
        <f>IF($P82="Pre",IF('cfs limit calculation'!E$17&gt;'Calculations - Outliers Removed'!F83,'Calculations - Outliers Removed'!F83,'cfs limit calculation'!E$17),IF('cfs limit calculation'!E$19&gt;'Calculations - Outliers Removed'!F83,'Calculations - Outliers Removed'!F83,'cfs limit calculation'!E$19))</f>
        <v>401.538769513315</v>
      </c>
      <c r="G84" s="32">
        <f>IF($P82="Pre",IF('cfs limit calculation'!F$17&gt;'Calculations - Outliers Removed'!G83,'Calculations - Outliers Removed'!G83,'cfs limit calculation'!F$17),IF('cfs limit calculation'!F$19&gt;'Calculations - Outliers Removed'!G83,'Calculations - Outliers Removed'!G83,'cfs limit calculation'!F$19))</f>
        <v>572.88</v>
      </c>
      <c r="H84" s="32">
        <f>IF($P82="Pre",IF('cfs limit calculation'!G$17&gt;'Calculations - Outliers Removed'!H83,'Calculations - Outliers Removed'!H83,'cfs limit calculation'!G$17),IF('cfs limit calculation'!G$19&gt;'Calculations - Outliers Removed'!H83,'Calculations - Outliers Removed'!H83,'cfs limit calculation'!G$19))</f>
        <v>415.12404394381872</v>
      </c>
      <c r="I84" s="32">
        <f>IF($P82="Pre",IF('cfs limit calculation'!H$17&gt;'Calculations - Outliers Removed'!I83,'Calculations - Outliers Removed'!I83,'cfs limit calculation'!H$17),IF('cfs limit calculation'!H$19&gt;'Calculations - Outliers Removed'!I83,'Calculations - Outliers Removed'!I83,'cfs limit calculation'!H$19))</f>
        <v>67.923123980424137</v>
      </c>
      <c r="J84" s="32">
        <f>IF($P82="Pre",IF('cfs limit calculation'!I$17&gt;'Calculations - Outliers Removed'!J83,'Calculations - Outliers Removed'!J83,'cfs limit calculation'!I$17),IF('cfs limit calculation'!I$19&gt;'Calculations - Outliers Removed'!J83,'Calculations - Outliers Removed'!J83,'cfs limit calculation'!I$19))</f>
        <v>13.493497280681014</v>
      </c>
      <c r="K84" s="32">
        <f>IF($P82="Pre",IF('cfs limit calculation'!J$17&gt;'Calculations - Outliers Removed'!K83,'Calculations - Outliers Removed'!K83,'cfs limit calculation'!J$17),IF('cfs limit calculation'!J$19&gt;'Calculations - Outliers Removed'!K83,'Calculations - Outliers Removed'!K83,'cfs limit calculation'!J$19))</f>
        <v>0.35944466171294487</v>
      </c>
      <c r="L84" s="32">
        <f>IF($P82="Pre",IF('cfs limit calculation'!K$17&gt;'Calculations - Outliers Removed'!L83,'Calculations - Outliers Removed'!L83,'cfs limit calculation'!K$17),IF('cfs limit calculation'!K$19&gt;'Calculations - Outliers Removed'!L83,'Calculations - Outliers Removed'!L83,'cfs limit calculation'!K$19))</f>
        <v>27.139653264478056</v>
      </c>
      <c r="M84" s="32">
        <f>IF($P82="Pre",IF('cfs limit calculation'!L$17&gt;'Calculations - Outliers Removed'!M83,'Calculations - Outliers Removed'!M83,'cfs limit calculation'!L$17),IF('cfs limit calculation'!L$19&gt;'Calculations - Outliers Removed'!M83,'Calculations - Outliers Removed'!M83,'cfs limit calculation'!L$19))</f>
        <v>286.90264255910984</v>
      </c>
      <c r="N84" s="74">
        <f>IF($P82="Pre",IF('cfs limit calculation'!M$17&gt;'Calculations - Outliers Removed'!N83,'Calculations - Outliers Removed'!N83,'cfs limit calculation'!M$17),IF('cfs limit calculation'!M$19&gt;'Calculations - Outliers Removed'!N83,'Calculations - Outliers Removed'!N83,'cfs limit calculation'!M$19))</f>
        <v>389.91771576898117</v>
      </c>
      <c r="O84" s="85"/>
      <c r="P84" s="189"/>
      <c r="Q84" s="62"/>
      <c r="R84" s="61"/>
      <c r="S84" s="61"/>
      <c r="T84" s="61"/>
      <c r="U84" s="61"/>
      <c r="V84" s="15"/>
      <c r="W84" s="15"/>
      <c r="X84" s="15"/>
      <c r="Y84" s="15"/>
      <c r="Z84" s="15"/>
      <c r="AA84" s="15"/>
      <c r="AB84" s="15"/>
    </row>
    <row r="85" spans="1:29" ht="15" customHeight="1" thickBot="1" x14ac:dyDescent="0.35">
      <c r="A85" s="44"/>
      <c r="B85" s="50" t="s">
        <v>42</v>
      </c>
      <c r="C85" s="265">
        <f t="shared" ref="C85:N85" si="30">+C84/C82</f>
        <v>0.69599077326251946</v>
      </c>
      <c r="D85" s="272">
        <f t="shared" si="30"/>
        <v>0.70315896236301467</v>
      </c>
      <c r="E85" s="272">
        <f t="shared" si="30"/>
        <v>0.66122822208429433</v>
      </c>
      <c r="F85" s="272">
        <f t="shared" si="30"/>
        <v>0.67103954051478076</v>
      </c>
      <c r="G85" s="272">
        <f t="shared" si="30"/>
        <v>0.61789830508474575</v>
      </c>
      <c r="H85" s="272">
        <f t="shared" si="30"/>
        <v>0.66943058528068256</v>
      </c>
      <c r="I85" s="272">
        <f t="shared" si="30"/>
        <v>0.49885719085575847</v>
      </c>
      <c r="J85" s="272">
        <f t="shared" si="30"/>
        <v>0.14928538975623856</v>
      </c>
      <c r="K85" s="272">
        <f t="shared" si="30"/>
        <v>3.0862725522053814E-3</v>
      </c>
      <c r="L85" s="272">
        <f t="shared" si="30"/>
        <v>0.11061628875233792</v>
      </c>
      <c r="M85" s="272">
        <f t="shared" si="30"/>
        <v>0.51586251606605082</v>
      </c>
      <c r="N85" s="273">
        <f t="shared" si="30"/>
        <v>0.42055839913449428</v>
      </c>
      <c r="O85" s="78"/>
      <c r="P85" s="191"/>
      <c r="Q85" s="14"/>
      <c r="R85" s="56"/>
      <c r="S85" s="61"/>
      <c r="T85" s="61"/>
      <c r="U85" s="61"/>
      <c r="V85" s="15"/>
      <c r="W85" s="15"/>
      <c r="X85" s="15"/>
      <c r="Y85" s="15"/>
      <c r="Z85" s="15"/>
      <c r="AA85" s="15"/>
    </row>
    <row r="86" spans="1:29" ht="15" customHeight="1" x14ac:dyDescent="0.25">
      <c r="A86" s="85">
        <v>2003</v>
      </c>
      <c r="B86" s="58" t="s">
        <v>45</v>
      </c>
      <c r="C86" s="47">
        <f>+'Monthly Historical Flow-Gen'!B41</f>
        <v>791.13245192307681</v>
      </c>
      <c r="D86" s="94">
        <f>+'Monthly Historical Flow-Gen'!C41</f>
        <v>684.51274038461543</v>
      </c>
      <c r="E86" s="94">
        <f>+'Monthly Historical Flow-Gen'!D41</f>
        <v>1664.0480769230769</v>
      </c>
      <c r="F86" s="94">
        <f>+'Monthly Historical Flow-Gen'!E41</f>
        <v>1543.4134615384614</v>
      </c>
      <c r="G86" s="94">
        <f>+'Monthly Historical Flow-Gen'!F41</f>
        <v>819.42836538461529</v>
      </c>
      <c r="H86" s="94">
        <f>+'Monthly Historical Flow-Gen'!G41</f>
        <v>1449.3894230769231</v>
      </c>
      <c r="I86" s="94">
        <f>+'Monthly Historical Flow-Gen'!H41</f>
        <v>372.90288461538455</v>
      </c>
      <c r="J86" s="94">
        <f>+'Monthly Historical Flow-Gen'!I41</f>
        <v>388.07091346153845</v>
      </c>
      <c r="K86" s="94">
        <f>+'Monthly Historical Flow-Gen'!J41</f>
        <v>276.12908653846154</v>
      </c>
      <c r="L86" s="94">
        <f>+'Monthly Historical Flow-Gen'!K41</f>
        <v>486.88485576923074</v>
      </c>
      <c r="M86" s="94">
        <f>+'Monthly Historical Flow-Gen'!L41</f>
        <v>649.83028846153843</v>
      </c>
      <c r="N86" s="103">
        <f>+'Monthly Historical Flow-Gen'!M41</f>
        <v>1288.8389423076922</v>
      </c>
      <c r="O86" s="86">
        <f>+A86</f>
        <v>2003</v>
      </c>
      <c r="P86" s="188"/>
      <c r="R86" s="55"/>
      <c r="S86" s="55"/>
      <c r="T86" s="54"/>
      <c r="U86" s="53"/>
      <c r="V86" s="53"/>
      <c r="W86" s="54"/>
      <c r="X86" s="53"/>
      <c r="Y86" s="53"/>
      <c r="Z86" s="53"/>
      <c r="AA86" s="53"/>
      <c r="AB86" s="53"/>
      <c r="AC86" s="53"/>
    </row>
    <row r="87" spans="1:29" ht="15" customHeight="1" x14ac:dyDescent="0.25">
      <c r="A87" s="85"/>
      <c r="B87" s="48" t="s">
        <v>43</v>
      </c>
      <c r="C87" s="47">
        <f>IF(C86&gt;$O87,$O87,C86)</f>
        <v>791.13245192307681</v>
      </c>
      <c r="D87" s="46">
        <f t="shared" ref="D87:N87" si="31">IF(D86&gt;$O87,$O87,D86)</f>
        <v>684.51274038461543</v>
      </c>
      <c r="E87" s="46">
        <f t="shared" si="31"/>
        <v>927.14285714285722</v>
      </c>
      <c r="F87" s="46">
        <f t="shared" si="31"/>
        <v>927.14285714285722</v>
      </c>
      <c r="G87" s="46">
        <f t="shared" si="31"/>
        <v>819.42836538461529</v>
      </c>
      <c r="H87" s="46">
        <f t="shared" si="31"/>
        <v>927.14285714285722</v>
      </c>
      <c r="I87" s="46">
        <f t="shared" si="31"/>
        <v>372.90288461538455</v>
      </c>
      <c r="J87" s="46">
        <f t="shared" si="31"/>
        <v>388.07091346153845</v>
      </c>
      <c r="K87" s="46">
        <f t="shared" si="31"/>
        <v>276.12908653846154</v>
      </c>
      <c r="L87" s="46">
        <f t="shared" si="31"/>
        <v>486.88485576923074</v>
      </c>
      <c r="M87" s="46">
        <f t="shared" si="31"/>
        <v>649.83028846153843</v>
      </c>
      <c r="N87" s="45">
        <f t="shared" si="31"/>
        <v>927.14285714285722</v>
      </c>
      <c r="O87" s="185">
        <f>IF(P87="Pre",'cfs limit calculation'!$E$6,'cfs limit calculation'!$E$11)</f>
        <v>927.14285714285722</v>
      </c>
      <c r="P87" s="190" t="str">
        <f>+Calculations!P87</f>
        <v>Pre</v>
      </c>
      <c r="R87" s="55"/>
      <c r="S87" s="55"/>
      <c r="T87" s="54"/>
      <c r="U87" s="53"/>
      <c r="V87" s="53"/>
      <c r="W87" s="54"/>
      <c r="X87" s="53"/>
      <c r="Y87" s="53"/>
      <c r="Z87" s="53"/>
      <c r="AA87" s="53"/>
      <c r="AB87" s="53"/>
      <c r="AC87" s="53"/>
    </row>
    <row r="88" spans="1:29" ht="15" customHeight="1" x14ac:dyDescent="0.25">
      <c r="A88" s="85"/>
      <c r="B88" s="8" t="s">
        <v>44</v>
      </c>
      <c r="C88" s="47">
        <f>+'Monthly Historical Flow-Gen'!B67</f>
        <v>550.62088696701528</v>
      </c>
      <c r="D88" s="73">
        <f>+'Monthly Historical Flow-Gen'!C67</f>
        <v>481.32126825310985</v>
      </c>
      <c r="E88" s="73">
        <f>+'Monthly Historical Flow-Gen'!D67</f>
        <v>1100.3155513666352</v>
      </c>
      <c r="F88" s="73">
        <f>+'Monthly Historical Flow-Gen'!E67</f>
        <v>1035.6914600550965</v>
      </c>
      <c r="G88" s="73">
        <f>+'Monthly Historical Flow-Gen'!F67</f>
        <v>653.41227309236956</v>
      </c>
      <c r="H88" s="73">
        <f>+'Monthly Historical Flow-Gen'!G67</f>
        <v>970.26560979001545</v>
      </c>
      <c r="I88" s="73">
        <f>+'Monthly Historical Flow-Gen'!H67</f>
        <v>186.02528548123979</v>
      </c>
      <c r="J88" s="73">
        <f>+'Monthly Historical Flow-Gen'!I67</f>
        <v>57.933317569165297</v>
      </c>
      <c r="K88" s="73">
        <f>+'Monthly Historical Flow-Gen'!J67</f>
        <v>0.85220962064919836</v>
      </c>
      <c r="L88" s="73">
        <f>+'Monthly Historical Flow-Gen'!K67</f>
        <v>53.857395794909628</v>
      </c>
      <c r="M88" s="73">
        <f>+'Monthly Historical Flow-Gen'!L67</f>
        <v>335.22308762169683</v>
      </c>
      <c r="N88" s="74">
        <f>+'Monthly Historical Flow-Gen'!M67</f>
        <v>493.51083711875401</v>
      </c>
      <c r="O88" s="85"/>
      <c r="P88" s="189"/>
      <c r="Q88" s="52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 spans="1:29" ht="15" customHeight="1" x14ac:dyDescent="0.25">
      <c r="B89" s="22" t="s">
        <v>67</v>
      </c>
      <c r="C89" s="47">
        <f>IF($P87="Pre",IF('cfs limit calculation'!B$17&gt;'Calculations - Outliers Removed'!C88,'Calculations - Outliers Removed'!C88,'cfs limit calculation'!B$17),IF('cfs limit calculation'!B$19&gt;'Calculations - Outliers Removed'!C88,'Calculations - Outliers Removed'!C88,'cfs limit calculation'!B$19))</f>
        <v>550.62088696701528</v>
      </c>
      <c r="D89" s="32">
        <f>IF($P87="Pre",IF('cfs limit calculation'!C$17&gt;'Calculations - Outliers Removed'!D88,'Calculations - Outliers Removed'!D88,'cfs limit calculation'!C$17),IF('cfs limit calculation'!C$19&gt;'Calculations - Outliers Removed'!D88,'Calculations - Outliers Removed'!D88,'cfs limit calculation'!C$19))</f>
        <v>481.32126825310985</v>
      </c>
      <c r="E89" s="31">
        <f>IF($P87="Pre",IF('cfs limit calculation'!D$17&gt;'Calculations - Outliers Removed'!E88,'Calculations - Outliers Removed'!E88,'cfs limit calculation'!D$17),IF('cfs limit calculation'!D$19&gt;'Calculations - Outliers Removed'!E88,'Calculations - Outliers Removed'!E88,'cfs limit calculation'!D$19))</f>
        <v>572.88</v>
      </c>
      <c r="F89" s="32">
        <f>IF($P87="Pre",IF('cfs limit calculation'!E$17&gt;'Calculations - Outliers Removed'!F88,'Calculations - Outliers Removed'!F88,'cfs limit calculation'!E$17),IF('cfs limit calculation'!E$19&gt;'Calculations - Outliers Removed'!F88,'Calculations - Outliers Removed'!F88,'cfs limit calculation'!E$19))</f>
        <v>554.4</v>
      </c>
      <c r="G89" s="32">
        <f>IF($P87="Pre",IF('cfs limit calculation'!F$17&gt;'Calculations - Outliers Removed'!G88,'Calculations - Outliers Removed'!G88,'cfs limit calculation'!F$17),IF('cfs limit calculation'!F$19&gt;'Calculations - Outliers Removed'!G88,'Calculations - Outliers Removed'!G88,'cfs limit calculation'!F$19))</f>
        <v>572.88</v>
      </c>
      <c r="H89" s="32">
        <f>IF($P87="Pre",IF('cfs limit calculation'!G$17&gt;'Calculations - Outliers Removed'!H88,'Calculations - Outliers Removed'!H88,'cfs limit calculation'!G$17),IF('cfs limit calculation'!G$19&gt;'Calculations - Outliers Removed'!H88,'Calculations - Outliers Removed'!H88,'cfs limit calculation'!G$19))</f>
        <v>554.4</v>
      </c>
      <c r="I89" s="32">
        <f>IF($P87="Pre",IF('cfs limit calculation'!H$17&gt;'Calculations - Outliers Removed'!I88,'Calculations - Outliers Removed'!I88,'cfs limit calculation'!H$17),IF('cfs limit calculation'!H$19&gt;'Calculations - Outliers Removed'!I88,'Calculations - Outliers Removed'!I88,'cfs limit calculation'!H$19))</f>
        <v>186.02528548123979</v>
      </c>
      <c r="J89" s="32">
        <f>IF($P87="Pre",IF('cfs limit calculation'!I$17&gt;'Calculations - Outliers Removed'!J88,'Calculations - Outliers Removed'!J88,'cfs limit calculation'!I$17),IF('cfs limit calculation'!I$19&gt;'Calculations - Outliers Removed'!J88,'Calculations - Outliers Removed'!J88,'cfs limit calculation'!I$19))</f>
        <v>57.933317569165297</v>
      </c>
      <c r="K89" s="32">
        <f>IF($P87="Pre",IF('cfs limit calculation'!J$17&gt;'Calculations - Outliers Removed'!K88,'Calculations - Outliers Removed'!K88,'cfs limit calculation'!J$17),IF('cfs limit calculation'!J$19&gt;'Calculations - Outliers Removed'!K88,'Calculations - Outliers Removed'!K88,'cfs limit calculation'!J$19))</f>
        <v>0.85220962064919836</v>
      </c>
      <c r="L89" s="32">
        <f>IF($P87="Pre",IF('cfs limit calculation'!K$17&gt;'Calculations - Outliers Removed'!L88,'Calculations - Outliers Removed'!L88,'cfs limit calculation'!K$17),IF('cfs limit calculation'!K$19&gt;'Calculations - Outliers Removed'!L88,'Calculations - Outliers Removed'!L88,'cfs limit calculation'!K$19))</f>
        <v>53.857395794909628</v>
      </c>
      <c r="M89" s="32">
        <f>IF($P87="Pre",IF('cfs limit calculation'!L$17&gt;'Calculations - Outliers Removed'!M88,'Calculations - Outliers Removed'!M88,'cfs limit calculation'!L$17),IF('cfs limit calculation'!L$19&gt;'Calculations - Outliers Removed'!M88,'Calculations - Outliers Removed'!M88,'cfs limit calculation'!L$19))</f>
        <v>335.22308762169683</v>
      </c>
      <c r="N89" s="74">
        <f>IF($P87="Pre",IF('cfs limit calculation'!M$17&gt;'Calculations - Outliers Removed'!N88,'Calculations - Outliers Removed'!N88,'cfs limit calculation'!M$17),IF('cfs limit calculation'!M$19&gt;'Calculations - Outliers Removed'!N88,'Calculations - Outliers Removed'!N88,'cfs limit calculation'!M$19))</f>
        <v>493.51083711875401</v>
      </c>
      <c r="O89" s="65"/>
      <c r="P89" s="48"/>
      <c r="Q89" s="5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 spans="1:29" ht="15" customHeight="1" thickBot="1" x14ac:dyDescent="0.3">
      <c r="A90" s="44"/>
      <c r="B90" s="50" t="s">
        <v>42</v>
      </c>
      <c r="C90" s="265">
        <f t="shared" ref="C90:N90" si="32">+C89/C87</f>
        <v>0.69599077326251957</v>
      </c>
      <c r="D90" s="272">
        <f t="shared" si="32"/>
        <v>0.70315896236301467</v>
      </c>
      <c r="E90" s="272">
        <f t="shared" si="32"/>
        <v>0.61789830508474575</v>
      </c>
      <c r="F90" s="272">
        <f t="shared" si="32"/>
        <v>0.59796610169491515</v>
      </c>
      <c r="G90" s="272">
        <f t="shared" si="32"/>
        <v>0.69912151470507999</v>
      </c>
      <c r="H90" s="272">
        <f t="shared" si="32"/>
        <v>0.59796610169491515</v>
      </c>
      <c r="I90" s="272">
        <f t="shared" si="32"/>
        <v>0.49885719085575853</v>
      </c>
      <c r="J90" s="272">
        <f t="shared" si="32"/>
        <v>0.14928538975623856</v>
      </c>
      <c r="K90" s="272">
        <f t="shared" si="32"/>
        <v>3.0862725522053814E-3</v>
      </c>
      <c r="L90" s="272">
        <f t="shared" si="32"/>
        <v>0.11061628875233792</v>
      </c>
      <c r="M90" s="272">
        <f t="shared" si="32"/>
        <v>0.51586251606605082</v>
      </c>
      <c r="N90" s="273">
        <f t="shared" si="32"/>
        <v>0.53229212015890259</v>
      </c>
      <c r="O90" s="78"/>
      <c r="P90" s="191"/>
      <c r="Q90" s="5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 spans="1:29" ht="15" customHeight="1" x14ac:dyDescent="0.25">
      <c r="A91" s="85">
        <v>2004</v>
      </c>
      <c r="B91" s="58" t="s">
        <v>45</v>
      </c>
      <c r="C91" s="47">
        <f>+'Monthly Historical Flow-Gen'!B42</f>
        <v>723.89639423076926</v>
      </c>
      <c r="D91" s="94">
        <f>+'Monthly Historical Flow-Gen'!C42</f>
        <v>468.96706730769233</v>
      </c>
      <c r="E91" s="94">
        <f>+'Monthly Historical Flow-Gen'!D42</f>
        <v>642.02451923076922</v>
      </c>
      <c r="F91" s="94">
        <f>+'Monthly Historical Flow-Gen'!E42</f>
        <v>2096.9134615384614</v>
      </c>
      <c r="G91" s="94">
        <f>+'Monthly Historical Flow-Gen'!F42</f>
        <v>918.95192307692298</v>
      </c>
      <c r="H91" s="94">
        <f>+'Monthly Historical Flow-Gen'!G42</f>
        <v>334.14014423076918</v>
      </c>
      <c r="I91" s="94">
        <f>+'Monthly Historical Flow-Gen'!H42</f>
        <v>231.06850961538461</v>
      </c>
      <c r="J91" s="94">
        <f>+'Monthly Historical Flow-Gen'!I42</f>
        <v>237.10024038461538</v>
      </c>
      <c r="K91" s="94">
        <f>+'Monthly Historical Flow-Gen'!J42</f>
        <v>419.56009615384613</v>
      </c>
      <c r="L91" s="94">
        <f>+'Monthly Historical Flow-Gen'!K42</f>
        <v>513.051923076923</v>
      </c>
      <c r="M91" s="94">
        <f>+'Monthly Historical Flow-Gen'!L42</f>
        <v>545.78293269230767</v>
      </c>
      <c r="N91" s="103">
        <f>+'Monthly Historical Flow-Gen'!M42</f>
        <v>1271.9855769230769</v>
      </c>
      <c r="O91" s="85">
        <f>+A91</f>
        <v>2004</v>
      </c>
      <c r="P91" s="189"/>
      <c r="Q91" s="5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 spans="1:29" ht="15" customHeight="1" x14ac:dyDescent="0.25">
      <c r="A92" s="85"/>
      <c r="B92" s="48" t="s">
        <v>43</v>
      </c>
      <c r="C92" s="47">
        <f>IF(C91&gt;$O92,$O92,C91)</f>
        <v>723.89639423076926</v>
      </c>
      <c r="D92" s="46">
        <f t="shared" ref="D92:N92" si="33">IF(D91&gt;$O92,$O92,D91)</f>
        <v>468.96706730769233</v>
      </c>
      <c r="E92" s="46">
        <f t="shared" si="33"/>
        <v>642.02451923076922</v>
      </c>
      <c r="F92" s="46">
        <f t="shared" si="33"/>
        <v>927.14285714285722</v>
      </c>
      <c r="G92" s="46">
        <f t="shared" si="33"/>
        <v>918.95192307692298</v>
      </c>
      <c r="H92" s="46">
        <f t="shared" si="33"/>
        <v>334.14014423076918</v>
      </c>
      <c r="I92" s="46">
        <f t="shared" si="33"/>
        <v>231.06850961538461</v>
      </c>
      <c r="J92" s="46">
        <f t="shared" si="33"/>
        <v>237.10024038461538</v>
      </c>
      <c r="K92" s="46">
        <f t="shared" si="33"/>
        <v>419.56009615384613</v>
      </c>
      <c r="L92" s="46">
        <f t="shared" si="33"/>
        <v>513.051923076923</v>
      </c>
      <c r="M92" s="46">
        <f t="shared" si="33"/>
        <v>545.78293269230767</v>
      </c>
      <c r="N92" s="45">
        <f t="shared" si="33"/>
        <v>927.14285714285722</v>
      </c>
      <c r="O92" s="185">
        <f>IF(P92="Pre",'cfs limit calculation'!$E$6,'cfs limit calculation'!$E$11)</f>
        <v>927.14285714285722</v>
      </c>
      <c r="P92" s="190" t="str">
        <f>+Calculations!P92</f>
        <v>Pre</v>
      </c>
      <c r="Q92" s="5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 spans="1:29" ht="15" customHeight="1" x14ac:dyDescent="0.25">
      <c r="A93" s="85"/>
      <c r="B93" s="8" t="s">
        <v>44</v>
      </c>
      <c r="C93" s="47">
        <f>+'Monthly Historical Flow-Gen'!B68</f>
        <v>503.82521118262275</v>
      </c>
      <c r="D93" s="73">
        <f>+'Monthly Historical Flow-Gen'!C68</f>
        <v>329.75839643050301</v>
      </c>
      <c r="E93" s="73">
        <f>+'Monthly Historical Flow-Gen'!D68</f>
        <v>424.52473138548538</v>
      </c>
      <c r="F93" s="73">
        <f>+'Monthly Historical Flow-Gen'!E68</f>
        <v>1407.1118457300277</v>
      </c>
      <c r="G93" s="73">
        <f>+'Monthly Historical Flow-Gen'!F68</f>
        <v>732.77236947791175</v>
      </c>
      <c r="H93" s="73">
        <f>+'Monthly Historical Flow-Gen'!G68</f>
        <v>223.68363231817548</v>
      </c>
      <c r="I93" s="73">
        <f>+'Monthly Historical Flow-Gen'!H68</f>
        <v>115.2701876019576</v>
      </c>
      <c r="J93" s="73">
        <f>+'Monthly Historical Flow-Gen'!I68</f>
        <v>35.395601797115162</v>
      </c>
      <c r="K93" s="73">
        <f>+'Monthly Historical Flow-Gen'!J68</f>
        <v>1.294876808760266</v>
      </c>
      <c r="L93" s="73">
        <f>+'Monthly Historical Flow-Gen'!K68</f>
        <v>56.751899668019178</v>
      </c>
      <c r="M93" s="73">
        <f>+'Monthly Historical Flow-Gen'!L68</f>
        <v>281.5489568845619</v>
      </c>
      <c r="N93" s="74">
        <f>+'Monthly Historical Flow-Gen'!M68</f>
        <v>487.0574951330305</v>
      </c>
      <c r="O93" s="85"/>
      <c r="P93" s="189"/>
      <c r="Q93" s="5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 spans="1:29" ht="15" customHeight="1" x14ac:dyDescent="0.25">
      <c r="B94" s="22" t="s">
        <v>67</v>
      </c>
      <c r="C94" s="47">
        <f>IF($P92="Pre",IF('cfs limit calculation'!B$17&gt;'Calculations - Outliers Removed'!C93,'Calculations - Outliers Removed'!C93,'cfs limit calculation'!B$17),IF('cfs limit calculation'!B$19&gt;'Calculations - Outliers Removed'!C93,'Calculations - Outliers Removed'!C93,'cfs limit calculation'!B$19))</f>
        <v>503.82521118262275</v>
      </c>
      <c r="D94" s="32">
        <f>IF($P92="Pre",IF('cfs limit calculation'!C$17&gt;'Calculations - Outliers Removed'!D93,'Calculations - Outliers Removed'!D93,'cfs limit calculation'!C$17),IF('cfs limit calculation'!C$19&gt;'Calculations - Outliers Removed'!D93,'Calculations - Outliers Removed'!D93,'cfs limit calculation'!C$19))</f>
        <v>329.75839643050301</v>
      </c>
      <c r="E94" s="31">
        <f>IF($P92="Pre",IF('cfs limit calculation'!D$17&gt;'Calculations - Outliers Removed'!E93,'Calculations - Outliers Removed'!E93,'cfs limit calculation'!D$17),IF('cfs limit calculation'!D$19&gt;'Calculations - Outliers Removed'!E93,'Calculations - Outliers Removed'!E93,'cfs limit calculation'!D$19))</f>
        <v>424.52473138548538</v>
      </c>
      <c r="F94" s="32">
        <f>IF($P92="Pre",IF('cfs limit calculation'!E$17&gt;'Calculations - Outliers Removed'!F93,'Calculations - Outliers Removed'!F93,'cfs limit calculation'!E$17),IF('cfs limit calculation'!E$19&gt;'Calculations - Outliers Removed'!F93,'Calculations - Outliers Removed'!F93,'cfs limit calculation'!E$19))</f>
        <v>554.4</v>
      </c>
      <c r="G94" s="32">
        <f>IF($P92="Pre",IF('cfs limit calculation'!F$17&gt;'Calculations - Outliers Removed'!G93,'Calculations - Outliers Removed'!G93,'cfs limit calculation'!F$17),IF('cfs limit calculation'!F$19&gt;'Calculations - Outliers Removed'!G93,'Calculations - Outliers Removed'!G93,'cfs limit calculation'!F$19))</f>
        <v>572.88</v>
      </c>
      <c r="H94" s="32">
        <f>IF($P92="Pre",IF('cfs limit calculation'!G$17&gt;'Calculations - Outliers Removed'!H93,'Calculations - Outliers Removed'!H93,'cfs limit calculation'!G$17),IF('cfs limit calculation'!G$19&gt;'Calculations - Outliers Removed'!H93,'Calculations - Outliers Removed'!H93,'cfs limit calculation'!G$19))</f>
        <v>223.68363231817548</v>
      </c>
      <c r="I94" s="32">
        <f>IF($P92="Pre",IF('cfs limit calculation'!H$17&gt;'Calculations - Outliers Removed'!I93,'Calculations - Outliers Removed'!I93,'cfs limit calculation'!H$17),IF('cfs limit calculation'!H$19&gt;'Calculations - Outliers Removed'!I93,'Calculations - Outliers Removed'!I93,'cfs limit calculation'!H$19))</f>
        <v>115.2701876019576</v>
      </c>
      <c r="J94" s="32">
        <f>IF($P92="Pre",IF('cfs limit calculation'!I$17&gt;'Calculations - Outliers Removed'!J93,'Calculations - Outliers Removed'!J93,'cfs limit calculation'!I$17),IF('cfs limit calculation'!I$19&gt;'Calculations - Outliers Removed'!J93,'Calculations - Outliers Removed'!J93,'cfs limit calculation'!I$19))</f>
        <v>35.395601797115162</v>
      </c>
      <c r="K94" s="32">
        <f>IF($P92="Pre",IF('cfs limit calculation'!J$17&gt;'Calculations - Outliers Removed'!K93,'Calculations - Outliers Removed'!K93,'cfs limit calculation'!J$17),IF('cfs limit calculation'!J$19&gt;'Calculations - Outliers Removed'!K93,'Calculations - Outliers Removed'!K93,'cfs limit calculation'!J$19))</f>
        <v>1.294876808760266</v>
      </c>
      <c r="L94" s="32">
        <f>IF($P92="Pre",IF('cfs limit calculation'!K$17&gt;'Calculations - Outliers Removed'!L93,'Calculations - Outliers Removed'!L93,'cfs limit calculation'!K$17),IF('cfs limit calculation'!K$19&gt;'Calculations - Outliers Removed'!L93,'Calculations - Outliers Removed'!L93,'cfs limit calculation'!K$19))</f>
        <v>56.751899668019178</v>
      </c>
      <c r="M94" s="32">
        <f>IF($P92="Pre",IF('cfs limit calculation'!L$17&gt;'Calculations - Outliers Removed'!M93,'Calculations - Outliers Removed'!M93,'cfs limit calculation'!L$17),IF('cfs limit calculation'!L$19&gt;'Calculations - Outliers Removed'!M93,'Calculations - Outliers Removed'!M93,'cfs limit calculation'!L$19))</f>
        <v>281.5489568845619</v>
      </c>
      <c r="N94" s="74">
        <f>IF($P92="Pre",IF('cfs limit calculation'!M$17&gt;'Calculations - Outliers Removed'!N93,'Calculations - Outliers Removed'!N93,'cfs limit calculation'!M$17),IF('cfs limit calculation'!M$19&gt;'Calculations - Outliers Removed'!N93,'Calculations - Outliers Removed'!N93,'cfs limit calculation'!M$19))</f>
        <v>487.0574951330305</v>
      </c>
      <c r="O94" s="85"/>
      <c r="P94" s="189"/>
      <c r="Q94" s="5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 spans="1:29" ht="15" customHeight="1" thickBot="1" x14ac:dyDescent="0.3">
      <c r="A95" s="44"/>
      <c r="B95" s="50" t="s">
        <v>42</v>
      </c>
      <c r="C95" s="265">
        <f t="shared" ref="C95:N95" si="34">+C94/C92</f>
        <v>0.69599077326251946</v>
      </c>
      <c r="D95" s="272">
        <f t="shared" si="34"/>
        <v>0.70315896236301467</v>
      </c>
      <c r="E95" s="272">
        <f t="shared" si="34"/>
        <v>0.66122822208429433</v>
      </c>
      <c r="F95" s="272">
        <f t="shared" si="34"/>
        <v>0.59796610169491515</v>
      </c>
      <c r="G95" s="272">
        <f t="shared" si="34"/>
        <v>0.62340584486925954</v>
      </c>
      <c r="H95" s="272">
        <f t="shared" si="34"/>
        <v>0.66943058528068256</v>
      </c>
      <c r="I95" s="272">
        <f t="shared" si="34"/>
        <v>0.49885719085575853</v>
      </c>
      <c r="J95" s="272">
        <f t="shared" si="34"/>
        <v>0.14928538975623856</v>
      </c>
      <c r="K95" s="272">
        <f t="shared" si="34"/>
        <v>3.0862725522053814E-3</v>
      </c>
      <c r="L95" s="272">
        <f t="shared" si="34"/>
        <v>0.11061628875233792</v>
      </c>
      <c r="M95" s="272">
        <f t="shared" si="34"/>
        <v>0.51586251606605082</v>
      </c>
      <c r="N95" s="273">
        <f t="shared" si="34"/>
        <v>0.52533165884918542</v>
      </c>
      <c r="O95" s="78"/>
      <c r="P95" s="191"/>
      <c r="Q95" s="5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 spans="1:29" ht="15" customHeight="1" x14ac:dyDescent="0.25">
      <c r="A96" s="85">
        <v>2005</v>
      </c>
      <c r="B96" s="58" t="s">
        <v>45</v>
      </c>
      <c r="C96" s="47">
        <f>+'Monthly Historical Flow-Gen'!B43</f>
        <v>1507.0456730769231</v>
      </c>
      <c r="D96" s="94">
        <f>+'Monthly Historical Flow-Gen'!C43</f>
        <v>1214.3293269230769</v>
      </c>
      <c r="E96" s="94">
        <f>+'Monthly Historical Flow-Gen'!D43</f>
        <v>1224.0865384615383</v>
      </c>
      <c r="F96" s="94">
        <f>+'Monthly Historical Flow-Gen'!E43</f>
        <v>1833.46875</v>
      </c>
      <c r="G96" s="94">
        <f>+'Monthly Historical Flow-Gen'!F43</f>
        <v>1095.46875</v>
      </c>
      <c r="H96" s="94">
        <f>+'Monthly Historical Flow-Gen'!G43</f>
        <v>386.03076923076918</v>
      </c>
      <c r="I96" s="94">
        <f>+'Monthly Historical Flow-Gen'!H43</f>
        <v>345.9375</v>
      </c>
      <c r="J96" s="94">
        <f>+'Monthly Historical Flow-Gen'!I43</f>
        <v>134.38341346153845</v>
      </c>
      <c r="K96" s="94">
        <f>+'Monthly Historical Flow-Gen'!J43</f>
        <v>137.57668269230768</v>
      </c>
      <c r="L96" s="94">
        <f>+'Monthly Historical Flow-Gen'!K43</f>
        <v>2351.4879807692305</v>
      </c>
      <c r="M96" s="94">
        <f>+'Monthly Historical Flow-Gen'!L43</f>
        <v>1305.6923076923076</v>
      </c>
      <c r="N96" s="103">
        <f>+'Monthly Historical Flow-Gen'!M43</f>
        <v>1229.4086538461538</v>
      </c>
      <c r="O96" s="85">
        <f>+A96</f>
        <v>2005</v>
      </c>
      <c r="P96" s="189"/>
      <c r="Q96" s="5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 spans="1:29" ht="15" customHeight="1" x14ac:dyDescent="0.25">
      <c r="A97" s="85"/>
      <c r="B97" s="48" t="s">
        <v>43</v>
      </c>
      <c r="C97" s="47">
        <f>IF(C96&gt;$O97,$O97,C96)</f>
        <v>927.14285714285722</v>
      </c>
      <c r="D97" s="46">
        <f t="shared" ref="D97:N97" si="35">IF(D96&gt;$O97,$O97,D96)</f>
        <v>927.14285714285722</v>
      </c>
      <c r="E97" s="46">
        <f t="shared" si="35"/>
        <v>927.14285714285722</v>
      </c>
      <c r="F97" s="46">
        <f t="shared" si="35"/>
        <v>927.14285714285722</v>
      </c>
      <c r="G97" s="46">
        <f t="shared" si="35"/>
        <v>927.14285714285722</v>
      </c>
      <c r="H97" s="46">
        <f t="shared" si="35"/>
        <v>386.03076923076918</v>
      </c>
      <c r="I97" s="46">
        <f t="shared" si="35"/>
        <v>345.9375</v>
      </c>
      <c r="J97" s="46">
        <f t="shared" si="35"/>
        <v>134.38341346153845</v>
      </c>
      <c r="K97" s="46">
        <f t="shared" si="35"/>
        <v>137.57668269230768</v>
      </c>
      <c r="L97" s="46">
        <f t="shared" si="35"/>
        <v>927.14285714285722</v>
      </c>
      <c r="M97" s="46">
        <f t="shared" si="35"/>
        <v>927.14285714285722</v>
      </c>
      <c r="N97" s="45">
        <f t="shared" si="35"/>
        <v>927.14285714285722</v>
      </c>
      <c r="O97" s="185">
        <f>IF(P97="Pre",'cfs limit calculation'!$E$6,'cfs limit calculation'!$E$11)</f>
        <v>927.14285714285722</v>
      </c>
      <c r="P97" s="190" t="str">
        <f>+Calculations!P97</f>
        <v>Pre</v>
      </c>
      <c r="Q97" s="5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 spans="1:29" ht="15" customHeight="1" x14ac:dyDescent="0.25">
      <c r="A98" s="85"/>
      <c r="B98" s="8" t="s">
        <v>44</v>
      </c>
      <c r="C98" s="47">
        <f>+'Monthly Historical Flow-Gen'!B69</f>
        <v>1048.8898833467417</v>
      </c>
      <c r="D98" s="73">
        <f>+'Monthly Historical Flow-Gen'!C69</f>
        <v>853.86654948620878</v>
      </c>
      <c r="E98" s="73">
        <f>+'Monthly Historical Flow-Gen'!D69</f>
        <v>809.40056550424117</v>
      </c>
      <c r="F98" s="46">
        <f>+'Monthly Historical Flow-Gen'!E69</f>
        <v>1230.3300275482095</v>
      </c>
      <c r="G98" s="73">
        <f>+'Monthly Historical Flow-Gen'!F69</f>
        <v>873.52690763052226</v>
      </c>
      <c r="H98" s="73">
        <f>+'Monthly Historical Flow-Gen'!G69</f>
        <v>258.42080378250591</v>
      </c>
      <c r="I98" s="73">
        <f>+'Monthly Historical Flow-Gen'!H69</f>
        <v>172.57340946166397</v>
      </c>
      <c r="J98" s="73">
        <f>+'Monthly Historical Flow-Gen'!I69</f>
        <v>20.061480255379525</v>
      </c>
      <c r="K98" s="73">
        <f>+'Monthly Historical Flow-Gen'!J69</f>
        <v>0.42459913961673834</v>
      </c>
      <c r="L98" s="73">
        <f>+'Monthly Historical Flow-Gen'!K69</f>
        <v>260.11287347842125</v>
      </c>
      <c r="M98" s="73">
        <f>+'Monthly Historical Flow-Gen'!L69</f>
        <v>673.55771905424206</v>
      </c>
      <c r="N98" s="74">
        <f>+'Monthly Historical Flow-Gen'!M69</f>
        <v>470.75431537962362</v>
      </c>
      <c r="O98" s="85"/>
      <c r="P98" s="189"/>
      <c r="Q98" s="5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 spans="1:29" ht="15" customHeight="1" x14ac:dyDescent="0.25">
      <c r="B99" s="22" t="s">
        <v>67</v>
      </c>
      <c r="C99" s="47">
        <f>IF($P97="Pre",IF('cfs limit calculation'!B$17&gt;'Calculations - Outliers Removed'!C98,'Calculations - Outliers Removed'!C98,'cfs limit calculation'!B$17),IF('cfs limit calculation'!B$19&gt;'Calculations - Outliers Removed'!C98,'Calculations - Outliers Removed'!C98,'cfs limit calculation'!B$19))</f>
        <v>572.88</v>
      </c>
      <c r="D99" s="32">
        <f>IF($P97="Pre",IF('cfs limit calculation'!C$17&gt;'Calculations - Outliers Removed'!D98,'Calculations - Outliers Removed'!D98,'cfs limit calculation'!C$17),IF('cfs limit calculation'!C$19&gt;'Calculations - Outliers Removed'!D98,'Calculations - Outliers Removed'!D98,'cfs limit calculation'!C$19))</f>
        <v>522.05999999999995</v>
      </c>
      <c r="E99" s="31">
        <f>IF($P97="Pre",IF('cfs limit calculation'!D$17&gt;'Calculations - Outliers Removed'!E98,'Calculations - Outliers Removed'!E98,'cfs limit calculation'!D$17),IF('cfs limit calculation'!D$19&gt;'Calculations - Outliers Removed'!E98,'Calculations - Outliers Removed'!E98,'cfs limit calculation'!D$19))</f>
        <v>572.88</v>
      </c>
      <c r="F99" s="32">
        <f>IF($P97="Pre",IF('cfs limit calculation'!E$17&gt;'Calculations - Outliers Removed'!F98,'Calculations - Outliers Removed'!F98,'cfs limit calculation'!E$17),IF('cfs limit calculation'!E$19&gt;'Calculations - Outliers Removed'!F98,'Calculations - Outliers Removed'!F98,'cfs limit calculation'!E$19))</f>
        <v>554.4</v>
      </c>
      <c r="G99" s="32">
        <f>IF($P97="Pre",IF('cfs limit calculation'!F$17&gt;'Calculations - Outliers Removed'!G98,'Calculations - Outliers Removed'!G98,'cfs limit calculation'!F$17),IF('cfs limit calculation'!F$19&gt;'Calculations - Outliers Removed'!G98,'Calculations - Outliers Removed'!G98,'cfs limit calculation'!F$19))</f>
        <v>572.88</v>
      </c>
      <c r="H99" s="32">
        <f>IF($P97="Pre",IF('cfs limit calculation'!G$17&gt;'Calculations - Outliers Removed'!H98,'Calculations - Outliers Removed'!H98,'cfs limit calculation'!G$17),IF('cfs limit calculation'!G$19&gt;'Calculations - Outliers Removed'!H98,'Calculations - Outliers Removed'!H98,'cfs limit calculation'!G$19))</f>
        <v>258.42080378250591</v>
      </c>
      <c r="I99" s="32">
        <f>IF($P97="Pre",IF('cfs limit calculation'!H$17&gt;'Calculations - Outliers Removed'!I98,'Calculations - Outliers Removed'!I98,'cfs limit calculation'!H$17),IF('cfs limit calculation'!H$19&gt;'Calculations - Outliers Removed'!I98,'Calculations - Outliers Removed'!I98,'cfs limit calculation'!H$19))</f>
        <v>172.57340946166397</v>
      </c>
      <c r="J99" s="32">
        <f>IF($P97="Pre",IF('cfs limit calculation'!I$17&gt;'Calculations - Outliers Removed'!J98,'Calculations - Outliers Removed'!J98,'cfs limit calculation'!I$17),IF('cfs limit calculation'!I$19&gt;'Calculations - Outliers Removed'!J98,'Calculations - Outliers Removed'!J98,'cfs limit calculation'!I$19))</f>
        <v>20.061480255379525</v>
      </c>
      <c r="K99" s="32">
        <f>IF($P97="Pre",IF('cfs limit calculation'!J$17&gt;'Calculations - Outliers Removed'!K98,'Calculations - Outliers Removed'!K98,'cfs limit calculation'!J$17),IF('cfs limit calculation'!J$19&gt;'Calculations - Outliers Removed'!K98,'Calculations - Outliers Removed'!K98,'cfs limit calculation'!J$19))</f>
        <v>0.42459913961673834</v>
      </c>
      <c r="L99" s="32">
        <f>IF($P97="Pre",IF('cfs limit calculation'!K$17&gt;'Calculations - Outliers Removed'!L98,'Calculations - Outliers Removed'!L98,'cfs limit calculation'!K$17),IF('cfs limit calculation'!K$19&gt;'Calculations - Outliers Removed'!L98,'Calculations - Outliers Removed'!L98,'cfs limit calculation'!K$19))</f>
        <v>260.11287347842125</v>
      </c>
      <c r="M99" s="32">
        <f>IF($P97="Pre",IF('cfs limit calculation'!L$17&gt;'Calculations - Outliers Removed'!M98,'Calculations - Outliers Removed'!M98,'cfs limit calculation'!L$17),IF('cfs limit calculation'!L$19&gt;'Calculations - Outliers Removed'!M98,'Calculations - Outliers Removed'!M98,'cfs limit calculation'!L$19))</f>
        <v>554.4</v>
      </c>
      <c r="N99" s="74">
        <f>IF($P97="Pre",IF('cfs limit calculation'!M$17&gt;'Calculations - Outliers Removed'!N98,'Calculations - Outliers Removed'!N98,'cfs limit calculation'!M$17),IF('cfs limit calculation'!M$19&gt;'Calculations - Outliers Removed'!N98,'Calculations - Outliers Removed'!N98,'cfs limit calculation'!M$19))</f>
        <v>470.75431537962362</v>
      </c>
      <c r="O99" s="85"/>
      <c r="P99" s="189"/>
      <c r="Q99" s="5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 spans="1:29" ht="15" customHeight="1" thickBot="1" x14ac:dyDescent="0.3">
      <c r="A100" s="44"/>
      <c r="B100" s="50" t="s">
        <v>42</v>
      </c>
      <c r="C100" s="265">
        <f t="shared" ref="C100:N100" si="36">+C99/C97</f>
        <v>0.61789830508474575</v>
      </c>
      <c r="D100" s="272">
        <f t="shared" si="36"/>
        <v>0.56308474576271172</v>
      </c>
      <c r="E100" s="272">
        <f t="shared" si="36"/>
        <v>0.61789830508474575</v>
      </c>
      <c r="F100" s="272">
        <f t="shared" si="36"/>
        <v>0.59796610169491515</v>
      </c>
      <c r="G100" s="272">
        <f t="shared" si="36"/>
        <v>0.61789830508474575</v>
      </c>
      <c r="H100" s="272">
        <f t="shared" si="36"/>
        <v>0.66943058528068256</v>
      </c>
      <c r="I100" s="272">
        <f t="shared" si="36"/>
        <v>0.49885719085575853</v>
      </c>
      <c r="J100" s="272">
        <f t="shared" si="36"/>
        <v>0.14928538975623856</v>
      </c>
      <c r="K100" s="272">
        <f t="shared" si="36"/>
        <v>3.0862725522053814E-3</v>
      </c>
      <c r="L100" s="272">
        <f t="shared" si="36"/>
        <v>0.28055317632495358</v>
      </c>
      <c r="M100" s="272">
        <f t="shared" si="36"/>
        <v>0.59796610169491515</v>
      </c>
      <c r="N100" s="273">
        <f t="shared" si="36"/>
        <v>0.50774733554042606</v>
      </c>
      <c r="O100" s="78"/>
      <c r="P100" s="191"/>
      <c r="Q100" s="5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 spans="1:29" ht="15" customHeight="1" x14ac:dyDescent="0.25">
      <c r="A101" s="85">
        <v>2006</v>
      </c>
      <c r="B101" s="58" t="s">
        <v>45</v>
      </c>
      <c r="C101" s="47">
        <f>+'Monthly Historical Flow-Gen'!B44</f>
        <v>1662.2740384615383</v>
      </c>
      <c r="D101" s="94">
        <f>+'Monthly Historical Flow-Gen'!C44</f>
        <v>1551.3966346153845</v>
      </c>
      <c r="E101" s="94">
        <f>+'Monthly Historical Flow-Gen'!D44</f>
        <v>505.77836538461543</v>
      </c>
      <c r="F101" s="94">
        <f>+'Monthly Historical Flow-Gen'!E44</f>
        <v>408.73846153846154</v>
      </c>
      <c r="G101" s="94">
        <f>+'Monthly Historical Flow-Gen'!F44</f>
        <v>1255.1322115384614</v>
      </c>
      <c r="H101" s="94">
        <f>+'Monthly Historical Flow-Gen'!G44</f>
        <v>2180.2932692307691</v>
      </c>
      <c r="I101" s="94">
        <f>+'Monthly Historical Flow-Gen'!H44</f>
        <v>449.54134615384612</v>
      </c>
      <c r="J101" s="94">
        <f>+'Monthly Historical Flow-Gen'!I44</f>
        <v>214.48124999999999</v>
      </c>
      <c r="K101" s="94">
        <f>+'Monthly Historical Flow-Gen'!J44</f>
        <v>211.19927884615382</v>
      </c>
      <c r="L101" s="94">
        <f>+'Monthly Historical Flow-Gen'!K44</f>
        <v>435.70384615384614</v>
      </c>
      <c r="M101" s="94">
        <f>+'Monthly Historical Flow-Gen'!L44</f>
        <v>1267.5504807692307</v>
      </c>
      <c r="N101" s="103">
        <f>+'Monthly Historical Flow-Gen'!M44</f>
        <v>809.49374999999998</v>
      </c>
      <c r="O101" s="86">
        <f>+A101</f>
        <v>2006</v>
      </c>
      <c r="P101" s="188"/>
      <c r="Q101" s="5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 spans="1:29" ht="15" customHeight="1" x14ac:dyDescent="0.25">
      <c r="A102" s="85"/>
      <c r="B102" s="48" t="s">
        <v>43</v>
      </c>
      <c r="C102" s="47">
        <f>IF(C101&gt;$O102,$O102,C101)</f>
        <v>927.14285714285722</v>
      </c>
      <c r="D102" s="46">
        <f t="shared" ref="D102:N102" si="37">IF(D101&gt;$O102,$O102,D101)</f>
        <v>927.14285714285722</v>
      </c>
      <c r="E102" s="46">
        <f t="shared" si="37"/>
        <v>505.77836538461543</v>
      </c>
      <c r="F102" s="46">
        <f t="shared" si="37"/>
        <v>408.73846153846154</v>
      </c>
      <c r="G102" s="46">
        <f t="shared" si="37"/>
        <v>927.14285714285722</v>
      </c>
      <c r="H102" s="46">
        <f t="shared" si="37"/>
        <v>927.14285714285722</v>
      </c>
      <c r="I102" s="46">
        <f t="shared" si="37"/>
        <v>449.54134615384612</v>
      </c>
      <c r="J102" s="46">
        <f t="shared" si="37"/>
        <v>214.48124999999999</v>
      </c>
      <c r="K102" s="46">
        <f t="shared" si="37"/>
        <v>211.19927884615382</v>
      </c>
      <c r="L102" s="46">
        <f t="shared" si="37"/>
        <v>435.70384615384614</v>
      </c>
      <c r="M102" s="46">
        <f t="shared" si="37"/>
        <v>927.14285714285722</v>
      </c>
      <c r="N102" s="45">
        <f t="shared" si="37"/>
        <v>809.49374999999998</v>
      </c>
      <c r="O102" s="185">
        <f>IF(P102="Pre",'cfs limit calculation'!$E$6,'cfs limit calculation'!$E$11)</f>
        <v>927.14285714285722</v>
      </c>
      <c r="P102" s="190" t="str">
        <f>+Calculations!P102</f>
        <v>Pre</v>
      </c>
      <c r="Q102" s="5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 spans="1:29" ht="15" customHeight="1" x14ac:dyDescent="0.25">
      <c r="A103" s="85"/>
      <c r="B103" s="8" t="s">
        <v>44</v>
      </c>
      <c r="C103" s="47">
        <f>+'Monthly Historical Flow-Gen'!B70</f>
        <v>1156.9273934030571</v>
      </c>
      <c r="D103" s="73">
        <f>+'Monthly Historical Flow-Gen'!C70</f>
        <v>1090.8784478096268</v>
      </c>
      <c r="E103" s="73">
        <f>+'Monthly Historical Flow-Gen'!D70</f>
        <v>334.43492931196982</v>
      </c>
      <c r="F103" s="73">
        <f>+'Monthly Historical Flow-Gen'!E70</f>
        <v>274.2796694214876</v>
      </c>
      <c r="G103" s="73">
        <f>+'Monthly Historical Flow-Gen'!F70</f>
        <v>1000.8425702811246</v>
      </c>
      <c r="H103" s="73">
        <f>+'Monthly Historical Flow-Gen'!G70</f>
        <v>1459.5549993046866</v>
      </c>
      <c r="I103" s="73">
        <f>+'Monthly Historical Flow-Gen'!H70</f>
        <v>224.25693311582381</v>
      </c>
      <c r="J103" s="73">
        <f>+'Monthly Historical Flow-Gen'!I70</f>
        <v>32.01891700165524</v>
      </c>
      <c r="K103" s="73">
        <f>+'Monthly Historical Flow-Gen'!J70</f>
        <v>0.65181853734845518</v>
      </c>
      <c r="L103" s="73">
        <f>+'Monthly Historical Flow-Gen'!K70</f>
        <v>48.195942456658067</v>
      </c>
      <c r="M103" s="73">
        <f>+'Monthly Historical Flow-Gen'!L70</f>
        <v>653.88178025034767</v>
      </c>
      <c r="N103" s="74">
        <f>+'Monthly Historical Flow-Gen'!M70</f>
        <v>309.96420506164827</v>
      </c>
      <c r="O103" s="85"/>
      <c r="P103" s="189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 spans="1:29" ht="15" customHeight="1" x14ac:dyDescent="0.25">
      <c r="B104" s="22" t="s">
        <v>67</v>
      </c>
      <c r="C104" s="47">
        <f>IF($P102="Pre",IF('cfs limit calculation'!B$17&gt;'Calculations - Outliers Removed'!C103,'Calculations - Outliers Removed'!C103,'cfs limit calculation'!B$17),IF('cfs limit calculation'!B$19&gt;'Calculations - Outliers Removed'!C103,'Calculations - Outliers Removed'!C103,'cfs limit calculation'!B$19))</f>
        <v>572.88</v>
      </c>
      <c r="D104" s="32">
        <f>IF($P102="Pre",IF('cfs limit calculation'!C$17&gt;'Calculations - Outliers Removed'!D103,'Calculations - Outliers Removed'!D103,'cfs limit calculation'!C$17),IF('cfs limit calculation'!C$19&gt;'Calculations - Outliers Removed'!D103,'Calculations - Outliers Removed'!D103,'cfs limit calculation'!C$19))</f>
        <v>522.05999999999995</v>
      </c>
      <c r="E104" s="31">
        <f>IF($P102="Pre",IF('cfs limit calculation'!D$17&gt;'Calculations - Outliers Removed'!E103,'Calculations - Outliers Removed'!E103,'cfs limit calculation'!D$17),IF('cfs limit calculation'!D$19&gt;'Calculations - Outliers Removed'!E103,'Calculations - Outliers Removed'!E103,'cfs limit calculation'!D$19))</f>
        <v>334.43492931196982</v>
      </c>
      <c r="F104" s="32">
        <f>IF($P102="Pre",IF('cfs limit calculation'!E$17&gt;'Calculations - Outliers Removed'!F103,'Calculations - Outliers Removed'!F103,'cfs limit calculation'!E$17),IF('cfs limit calculation'!E$19&gt;'Calculations - Outliers Removed'!F103,'Calculations - Outliers Removed'!F103,'cfs limit calculation'!E$19))</f>
        <v>274.2796694214876</v>
      </c>
      <c r="G104" s="32">
        <f>IF($P102="Pre",IF('cfs limit calculation'!F$17&gt;'Calculations - Outliers Removed'!G103,'Calculations - Outliers Removed'!G103,'cfs limit calculation'!F$17),IF('cfs limit calculation'!F$19&gt;'Calculations - Outliers Removed'!G103,'Calculations - Outliers Removed'!G103,'cfs limit calculation'!F$19))</f>
        <v>572.88</v>
      </c>
      <c r="H104" s="32">
        <f>IF($P102="Pre",IF('cfs limit calculation'!G$17&gt;'Calculations - Outliers Removed'!H103,'Calculations - Outliers Removed'!H103,'cfs limit calculation'!G$17),IF('cfs limit calculation'!G$19&gt;'Calculations - Outliers Removed'!H103,'Calculations - Outliers Removed'!H103,'cfs limit calculation'!G$19))</f>
        <v>554.4</v>
      </c>
      <c r="I104" s="32">
        <f>IF($P102="Pre",IF('cfs limit calculation'!H$17&gt;'Calculations - Outliers Removed'!I103,'Calculations - Outliers Removed'!I103,'cfs limit calculation'!H$17),IF('cfs limit calculation'!H$19&gt;'Calculations - Outliers Removed'!I103,'Calculations - Outliers Removed'!I103,'cfs limit calculation'!H$19))</f>
        <v>224.25693311582381</v>
      </c>
      <c r="J104" s="32">
        <f>IF($P102="Pre",IF('cfs limit calculation'!I$17&gt;'Calculations - Outliers Removed'!J103,'Calculations - Outliers Removed'!J103,'cfs limit calculation'!I$17),IF('cfs limit calculation'!I$19&gt;'Calculations - Outliers Removed'!J103,'Calculations - Outliers Removed'!J103,'cfs limit calculation'!I$19))</f>
        <v>32.01891700165524</v>
      </c>
      <c r="K104" s="32">
        <f>IF($P102="Pre",IF('cfs limit calculation'!J$17&gt;'Calculations - Outliers Removed'!K103,'Calculations - Outliers Removed'!K103,'cfs limit calculation'!J$17),IF('cfs limit calculation'!J$19&gt;'Calculations - Outliers Removed'!K103,'Calculations - Outliers Removed'!K103,'cfs limit calculation'!J$19))</f>
        <v>0.65181853734845518</v>
      </c>
      <c r="L104" s="32">
        <f>IF($P102="Pre",IF('cfs limit calculation'!K$17&gt;'Calculations - Outliers Removed'!L103,'Calculations - Outliers Removed'!L103,'cfs limit calculation'!K$17),IF('cfs limit calculation'!K$19&gt;'Calculations - Outliers Removed'!L103,'Calculations - Outliers Removed'!L103,'cfs limit calculation'!K$19))</f>
        <v>48.195942456658067</v>
      </c>
      <c r="M104" s="32">
        <f>IF($P102="Pre",IF('cfs limit calculation'!L$17&gt;'Calculations - Outliers Removed'!M103,'Calculations - Outliers Removed'!M103,'cfs limit calculation'!L$17),IF('cfs limit calculation'!L$19&gt;'Calculations - Outliers Removed'!M103,'Calculations - Outliers Removed'!M103,'cfs limit calculation'!L$19))</f>
        <v>554.4</v>
      </c>
      <c r="N104" s="74">
        <f>IF($P102="Pre",IF('cfs limit calculation'!M$17&gt;'Calculations - Outliers Removed'!N103,'Calculations - Outliers Removed'!N103,'cfs limit calculation'!M$17),IF('cfs limit calculation'!M$19&gt;'Calculations - Outliers Removed'!N103,'Calculations - Outliers Removed'!N103,'cfs limit calculation'!M$19))</f>
        <v>309.96420506164827</v>
      </c>
      <c r="O104" s="65"/>
      <c r="P104" s="48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 spans="1:29" ht="15" customHeight="1" thickBot="1" x14ac:dyDescent="0.4">
      <c r="A105" s="44"/>
      <c r="B105" s="50" t="s">
        <v>42</v>
      </c>
      <c r="C105" s="265">
        <f t="shared" ref="C105:N105" si="38">+C104/C102</f>
        <v>0.61789830508474575</v>
      </c>
      <c r="D105" s="272">
        <f t="shared" si="38"/>
        <v>0.56308474576271172</v>
      </c>
      <c r="E105" s="272">
        <f t="shared" si="38"/>
        <v>0.66122822208429433</v>
      </c>
      <c r="F105" s="272">
        <f t="shared" si="38"/>
        <v>0.67103954051478076</v>
      </c>
      <c r="G105" s="272">
        <f t="shared" si="38"/>
        <v>0.61789830508474575</v>
      </c>
      <c r="H105" s="272">
        <f t="shared" si="38"/>
        <v>0.59796610169491515</v>
      </c>
      <c r="I105" s="272">
        <f t="shared" si="38"/>
        <v>0.49885719085575853</v>
      </c>
      <c r="J105" s="272">
        <f t="shared" si="38"/>
        <v>0.14928538975623856</v>
      </c>
      <c r="K105" s="272">
        <f t="shared" si="38"/>
        <v>3.0862725522053814E-3</v>
      </c>
      <c r="L105" s="272">
        <f t="shared" si="38"/>
        <v>0.11061628875233794</v>
      </c>
      <c r="M105" s="272">
        <f t="shared" si="38"/>
        <v>0.59796610169491515</v>
      </c>
      <c r="N105" s="273">
        <f t="shared" si="38"/>
        <v>0.38291117758679211</v>
      </c>
      <c r="O105" s="78"/>
      <c r="P105" s="191"/>
      <c r="R105" s="57"/>
    </row>
    <row r="106" spans="1:29" ht="15" customHeight="1" x14ac:dyDescent="0.35">
      <c r="A106" s="85">
        <v>2007</v>
      </c>
      <c r="B106" s="58" t="s">
        <v>45</v>
      </c>
      <c r="C106" s="47">
        <f>+'Monthly Historical Flow-Gen'!B45</f>
        <v>876.10889423076924</v>
      </c>
      <c r="D106" s="94">
        <f>+'Monthly Historical Flow-Gen'!C45</f>
        <v>307.97307692307692</v>
      </c>
      <c r="E106" s="94">
        <f>+'Monthly Historical Flow-Gen'!D45</f>
        <v>1452.0504807692307</v>
      </c>
      <c r="F106" s="94">
        <f>+'Monthly Historical Flow-Gen'!E45</f>
        <v>2418.0144230769229</v>
      </c>
      <c r="G106" s="94">
        <f>+'Monthly Historical Flow-Gen'!F45</f>
        <v>1063.5360576923076</v>
      </c>
      <c r="H106" s="94">
        <f>+'Monthly Historical Flow-Gen'!G45</f>
        <v>480.85312499999998</v>
      </c>
      <c r="I106" s="94">
        <f>+'Monthly Historical Flow-Gen'!H45</f>
        <v>165.07427884615385</v>
      </c>
      <c r="J106" s="94">
        <f>+'Monthly Historical Flow-Gen'!I45</f>
        <v>99.789663461538453</v>
      </c>
      <c r="K106" s="94">
        <f>+'Monthly Historical Flow-Gen'!J45</f>
        <v>91.096874999999997</v>
      </c>
      <c r="L106" s="32">
        <f>+'Monthly Historical Flow-Gen'!K45</f>
        <v>174.03317307692305</v>
      </c>
      <c r="M106" s="32">
        <f>+'Monthly Historical Flow-Gen'!L45</f>
        <v>185.29831730769232</v>
      </c>
      <c r="N106" s="82">
        <f>+'Monthly Historical Flow-Gen'!M45</f>
        <v>278.70144230769228</v>
      </c>
      <c r="O106" s="85">
        <f>+A106</f>
        <v>2007</v>
      </c>
      <c r="P106" s="189"/>
      <c r="R106" s="57"/>
    </row>
    <row r="107" spans="1:29" ht="15" customHeight="1" x14ac:dyDescent="0.35">
      <c r="A107" s="85"/>
      <c r="B107" s="48" t="s">
        <v>43</v>
      </c>
      <c r="C107" s="47">
        <f>IF(C106&gt;$O107,$O107,C106)</f>
        <v>876.10889423076924</v>
      </c>
      <c r="D107" s="46">
        <f t="shared" ref="D107:N107" si="39">IF(D106&gt;$O107,$O107,D106)</f>
        <v>307.97307692307692</v>
      </c>
      <c r="E107" s="46">
        <f t="shared" si="39"/>
        <v>927.14285714285722</v>
      </c>
      <c r="F107" s="46">
        <f t="shared" si="39"/>
        <v>927.14285714285722</v>
      </c>
      <c r="G107" s="46">
        <f t="shared" si="39"/>
        <v>927.14285714285722</v>
      </c>
      <c r="H107" s="46">
        <f t="shared" si="39"/>
        <v>480.85312499999998</v>
      </c>
      <c r="I107" s="46">
        <f t="shared" si="39"/>
        <v>165.07427884615385</v>
      </c>
      <c r="J107" s="46">
        <f t="shared" si="39"/>
        <v>99.789663461538453</v>
      </c>
      <c r="K107" s="46">
        <f t="shared" si="39"/>
        <v>91.096874999999997</v>
      </c>
      <c r="L107" s="46">
        <f t="shared" si="39"/>
        <v>174.03317307692305</v>
      </c>
      <c r="M107" s="46">
        <f t="shared" si="39"/>
        <v>185.29831730769232</v>
      </c>
      <c r="N107" s="45">
        <f t="shared" si="39"/>
        <v>278.70144230769228</v>
      </c>
      <c r="O107" s="185">
        <f>IF(P107="Pre",'cfs limit calculation'!$E$6,'cfs limit calculation'!$E$11)</f>
        <v>927.14285714285722</v>
      </c>
      <c r="P107" s="190" t="str">
        <f>+Calculations!P107</f>
        <v>Pre</v>
      </c>
      <c r="R107" s="57"/>
    </row>
    <row r="108" spans="1:29" ht="15" customHeight="1" x14ac:dyDescent="0.25">
      <c r="A108" s="85"/>
      <c r="B108" s="8" t="s">
        <v>44</v>
      </c>
      <c r="C108" s="47">
        <f>+'Monthly Historical Flow-Gen'!B71</f>
        <v>609.76370675784392</v>
      </c>
      <c r="D108" s="73">
        <f>+'Monthly Historical Flow-Gen'!C71</f>
        <v>216.55402920497568</v>
      </c>
      <c r="E108" s="73">
        <f>+'Monthly Historical Flow-Gen'!D71</f>
        <v>960.13675777568324</v>
      </c>
      <c r="F108" s="73">
        <f>+'Monthly Historical Flow-Gen'!E71</f>
        <v>1622.583287419651</v>
      </c>
      <c r="G108" s="73">
        <f>+'Monthly Historical Flow-Gen'!F71</f>
        <v>848.0637751004017</v>
      </c>
      <c r="H108" s="73">
        <f>+'Monthly Historical Flow-Gen'!G71</f>
        <v>321.89778890279518</v>
      </c>
      <c r="I108" s="73">
        <f>+'Monthly Historical Flow-Gen'!H71</f>
        <v>82.348491027732464</v>
      </c>
      <c r="J108" s="73">
        <f>+'Monthly Historical Flow-Gen'!I71</f>
        <v>14.897138803499645</v>
      </c>
      <c r="K108" s="73">
        <f>+'Monthly Historical Flow-Gen'!J71</f>
        <v>0.28114978490418457</v>
      </c>
      <c r="L108" s="73">
        <f>+'Monthly Historical Flow-Gen'!K71</f>
        <v>19.250903725562523</v>
      </c>
      <c r="M108" s="73">
        <f>+'Monthly Historical Flow-Gen'!L71</f>
        <v>95.588456189151614</v>
      </c>
      <c r="N108" s="74">
        <f>+'Monthly Historical Flow-Gen'!M71</f>
        <v>106.71789746917585</v>
      </c>
      <c r="O108" s="85"/>
      <c r="P108" s="189"/>
      <c r="Q108" s="14"/>
      <c r="R108" s="56"/>
    </row>
    <row r="109" spans="1:29" ht="15" customHeight="1" x14ac:dyDescent="0.25">
      <c r="B109" s="22" t="s">
        <v>67</v>
      </c>
      <c r="C109" s="47">
        <f>IF($P107="Pre",IF('cfs limit calculation'!B$17&gt;'Calculations - Outliers Removed'!C108,'Calculations - Outliers Removed'!C108,'cfs limit calculation'!B$17),IF('cfs limit calculation'!B$19&gt;'Calculations - Outliers Removed'!C108,'Calculations - Outliers Removed'!C108,'cfs limit calculation'!B$19))</f>
        <v>572.88</v>
      </c>
      <c r="D109" s="32">
        <f>IF($P107="Pre",IF('cfs limit calculation'!C$17&gt;'Calculations - Outliers Removed'!D108,'Calculations - Outliers Removed'!D108,'cfs limit calculation'!C$17),IF('cfs limit calculation'!C$19&gt;'Calculations - Outliers Removed'!D108,'Calculations - Outliers Removed'!D108,'cfs limit calculation'!C$19))</f>
        <v>216.55402920497568</v>
      </c>
      <c r="E109" s="31">
        <f>IF($P107="Pre",IF('cfs limit calculation'!D$17&gt;'Calculations - Outliers Removed'!E108,'Calculations - Outliers Removed'!E108,'cfs limit calculation'!D$17),IF('cfs limit calculation'!D$19&gt;'Calculations - Outliers Removed'!E108,'Calculations - Outliers Removed'!E108,'cfs limit calculation'!D$19))</f>
        <v>572.88</v>
      </c>
      <c r="F109" s="32">
        <f>IF($P107="Pre",IF('cfs limit calculation'!E$17&gt;'Calculations - Outliers Removed'!F108,'Calculations - Outliers Removed'!F108,'cfs limit calculation'!E$17),IF('cfs limit calculation'!E$19&gt;'Calculations - Outliers Removed'!F108,'Calculations - Outliers Removed'!F108,'cfs limit calculation'!E$19))</f>
        <v>554.4</v>
      </c>
      <c r="G109" s="32">
        <f>IF($P107="Pre",IF('cfs limit calculation'!F$17&gt;'Calculations - Outliers Removed'!G108,'Calculations - Outliers Removed'!G108,'cfs limit calculation'!F$17),IF('cfs limit calculation'!F$19&gt;'Calculations - Outliers Removed'!G108,'Calculations - Outliers Removed'!G108,'cfs limit calculation'!F$19))</f>
        <v>572.88</v>
      </c>
      <c r="H109" s="32">
        <f>IF($P107="Pre",IF('cfs limit calculation'!G$17&gt;'Calculations - Outliers Removed'!H108,'Calculations - Outliers Removed'!H108,'cfs limit calculation'!G$17),IF('cfs limit calculation'!G$19&gt;'Calculations - Outliers Removed'!H108,'Calculations - Outliers Removed'!H108,'cfs limit calculation'!G$19))</f>
        <v>321.89778890279518</v>
      </c>
      <c r="I109" s="32">
        <f>IF($P107="Pre",IF('cfs limit calculation'!H$17&gt;'Calculations - Outliers Removed'!I108,'Calculations - Outliers Removed'!I108,'cfs limit calculation'!H$17),IF('cfs limit calculation'!H$19&gt;'Calculations - Outliers Removed'!I108,'Calculations - Outliers Removed'!I108,'cfs limit calculation'!H$19))</f>
        <v>82.348491027732464</v>
      </c>
      <c r="J109" s="32">
        <f>IF($P107="Pre",IF('cfs limit calculation'!I$17&gt;'Calculations - Outliers Removed'!J108,'Calculations - Outliers Removed'!J108,'cfs limit calculation'!I$17),IF('cfs limit calculation'!I$19&gt;'Calculations - Outliers Removed'!J108,'Calculations - Outliers Removed'!J108,'cfs limit calculation'!I$19))</f>
        <v>14.897138803499645</v>
      </c>
      <c r="K109" s="32">
        <f>IF($P107="Pre",IF('cfs limit calculation'!J$17&gt;'Calculations - Outliers Removed'!K108,'Calculations - Outliers Removed'!K108,'cfs limit calculation'!J$17),IF('cfs limit calculation'!J$19&gt;'Calculations - Outliers Removed'!K108,'Calculations - Outliers Removed'!K108,'cfs limit calculation'!J$19))</f>
        <v>0.28114978490418457</v>
      </c>
      <c r="L109" s="32">
        <f>IF($P107="Pre",IF('cfs limit calculation'!K$17&gt;'Calculations - Outliers Removed'!L108,'Calculations - Outliers Removed'!L108,'cfs limit calculation'!K$17),IF('cfs limit calculation'!K$19&gt;'Calculations - Outliers Removed'!L108,'Calculations - Outliers Removed'!L108,'cfs limit calculation'!K$19))</f>
        <v>19.250903725562523</v>
      </c>
      <c r="M109" s="32">
        <f>IF($P107="Pre",IF('cfs limit calculation'!L$17&gt;'Calculations - Outliers Removed'!M108,'Calculations - Outliers Removed'!M108,'cfs limit calculation'!L$17),IF('cfs limit calculation'!L$19&gt;'Calculations - Outliers Removed'!M108,'Calculations - Outliers Removed'!M108,'cfs limit calculation'!L$19))</f>
        <v>95.588456189151614</v>
      </c>
      <c r="N109" s="74">
        <f>IF($P107="Pre",IF('cfs limit calculation'!M$17&gt;'Calculations - Outliers Removed'!N108,'Calculations - Outliers Removed'!N108,'cfs limit calculation'!M$17),IF('cfs limit calculation'!M$19&gt;'Calculations - Outliers Removed'!N108,'Calculations - Outliers Removed'!N108,'cfs limit calculation'!M$19))</f>
        <v>106.71789746917585</v>
      </c>
      <c r="O109" s="85"/>
      <c r="P109" s="189"/>
      <c r="R109" s="55"/>
      <c r="S109" s="55"/>
      <c r="T109" s="54"/>
      <c r="U109" s="53"/>
      <c r="V109" s="53"/>
      <c r="W109" s="54"/>
      <c r="X109" s="53"/>
      <c r="Y109" s="53"/>
      <c r="Z109" s="53"/>
      <c r="AA109" s="53"/>
      <c r="AB109" s="53"/>
      <c r="AC109" s="53"/>
    </row>
    <row r="110" spans="1:29" ht="15" customHeight="1" thickBot="1" x14ac:dyDescent="0.3">
      <c r="A110" s="44"/>
      <c r="B110" s="50" t="s">
        <v>42</v>
      </c>
      <c r="C110" s="265">
        <f t="shared" ref="C110:N110" si="40">+C109/C107</f>
        <v>0.653891318502129</v>
      </c>
      <c r="D110" s="272">
        <f t="shared" si="40"/>
        <v>0.70315896236301467</v>
      </c>
      <c r="E110" s="272">
        <f t="shared" si="40"/>
        <v>0.61789830508474575</v>
      </c>
      <c r="F110" s="272">
        <f t="shared" si="40"/>
        <v>0.59796610169491515</v>
      </c>
      <c r="G110" s="272">
        <f t="shared" si="40"/>
        <v>0.61789830508474575</v>
      </c>
      <c r="H110" s="272">
        <f t="shared" si="40"/>
        <v>0.66943058528068256</v>
      </c>
      <c r="I110" s="272">
        <f t="shared" si="40"/>
        <v>0.49885719085575847</v>
      </c>
      <c r="J110" s="272">
        <f t="shared" si="40"/>
        <v>0.14928538975623856</v>
      </c>
      <c r="K110" s="272">
        <f t="shared" si="40"/>
        <v>3.086272552205381E-3</v>
      </c>
      <c r="L110" s="272">
        <f t="shared" si="40"/>
        <v>0.11061628875233794</v>
      </c>
      <c r="M110" s="272">
        <f t="shared" si="40"/>
        <v>0.51586251606605082</v>
      </c>
      <c r="N110" s="273">
        <f t="shared" si="40"/>
        <v>0.38291117758679211</v>
      </c>
      <c r="O110" s="78"/>
      <c r="P110" s="191"/>
      <c r="Q110" s="52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 spans="1:29" ht="15" customHeight="1" x14ac:dyDescent="0.25">
      <c r="A111" s="85">
        <v>2008</v>
      </c>
      <c r="B111" s="58" t="s">
        <v>45</v>
      </c>
      <c r="C111" s="47">
        <f>+'Monthly Historical Flow-Gen'!B46</f>
        <v>746.6040865384615</v>
      </c>
      <c r="D111" s="94">
        <f>+'Monthly Historical Flow-Gen'!C46</f>
        <v>2270.7692307692305</v>
      </c>
      <c r="E111" s="94">
        <f>+'Monthly Historical Flow-Gen'!D46</f>
        <v>1972.7307692307691</v>
      </c>
      <c r="F111" s="94">
        <f>+'Monthly Historical Flow-Gen'!E46</f>
        <v>965.96394230769226</v>
      </c>
      <c r="G111" s="94">
        <f>+'Monthly Historical Flow-Gen'!F46</f>
        <v>674.489423076923</v>
      </c>
      <c r="H111" s="94">
        <f>+'Monthly Historical Flow-Gen'!G46</f>
        <v>265.21875</v>
      </c>
      <c r="I111" s="94">
        <f>+'Monthly Historical Flow-Gen'!H46</f>
        <v>328.99543269230765</v>
      </c>
      <c r="J111" s="94">
        <f>+'Monthly Historical Flow-Gen'!I46</f>
        <v>465.41899038461543</v>
      </c>
      <c r="K111" s="94">
        <f>+'Monthly Historical Flow-Gen'!J46</f>
        <v>689.21394230769226</v>
      </c>
      <c r="L111" s="32">
        <f>+'Monthly Historical Flow-Gen'!K46</f>
        <v>601.39903846153845</v>
      </c>
      <c r="M111" s="32">
        <f>+'Monthly Historical Flow-Gen'!L46</f>
        <v>716.62283653846146</v>
      </c>
      <c r="N111" s="82">
        <f>+'Monthly Historical Flow-Gen'!M46</f>
        <v>2090.7043269230767</v>
      </c>
      <c r="O111" s="85">
        <f>+A111</f>
        <v>2008</v>
      </c>
      <c r="P111" s="189"/>
      <c r="Q111" s="5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 spans="1:29" ht="15" customHeight="1" x14ac:dyDescent="0.25">
      <c r="A112" s="85"/>
      <c r="B112" s="48" t="s">
        <v>43</v>
      </c>
      <c r="C112" s="47">
        <f>IF(C111&gt;$O112,$O112,C111)</f>
        <v>746.6040865384615</v>
      </c>
      <c r="D112" s="46">
        <f t="shared" ref="D112:N112" si="41">IF(D111&gt;$O112,$O112,D111)</f>
        <v>927.14285714285722</v>
      </c>
      <c r="E112" s="46">
        <f t="shared" si="41"/>
        <v>927.14285714285722</v>
      </c>
      <c r="F112" s="46">
        <f t="shared" si="41"/>
        <v>927.14285714285722</v>
      </c>
      <c r="G112" s="46">
        <f t="shared" si="41"/>
        <v>674.489423076923</v>
      </c>
      <c r="H112" s="46">
        <f t="shared" si="41"/>
        <v>265.21875</v>
      </c>
      <c r="I112" s="46">
        <f t="shared" si="41"/>
        <v>328.99543269230765</v>
      </c>
      <c r="J112" s="46">
        <f t="shared" si="41"/>
        <v>465.41899038461543</v>
      </c>
      <c r="K112" s="46">
        <f t="shared" si="41"/>
        <v>689.21394230769226</v>
      </c>
      <c r="L112" s="46">
        <f t="shared" si="41"/>
        <v>601.39903846153845</v>
      </c>
      <c r="M112" s="46">
        <f t="shared" si="41"/>
        <v>716.62283653846146</v>
      </c>
      <c r="N112" s="45">
        <f t="shared" si="41"/>
        <v>927.14285714285722</v>
      </c>
      <c r="O112" s="185">
        <f>IF(P112="Pre",'cfs limit calculation'!$E$6,'cfs limit calculation'!$E$11)</f>
        <v>927.14285714285722</v>
      </c>
      <c r="P112" s="190" t="str">
        <f>+Calculations!P112</f>
        <v>Pre</v>
      </c>
      <c r="Q112" s="5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 spans="1:29" ht="15" customHeight="1" x14ac:dyDescent="0.25">
      <c r="A113" s="85"/>
      <c r="B113" s="8" t="s">
        <v>44</v>
      </c>
      <c r="C113" s="47">
        <f>+'Monthly Historical Flow-Gen'!B72</f>
        <v>519.62955551086077</v>
      </c>
      <c r="D113" s="73">
        <f>+'Monthly Historical Flow-Gen'!C72</f>
        <v>1596.7117360735531</v>
      </c>
      <c r="E113" s="73">
        <f>+'Monthly Historical Flow-Gen'!D72</f>
        <v>1304.4252591894438</v>
      </c>
      <c r="F113" s="73">
        <f>+'Monthly Historical Flow-Gen'!E72</f>
        <v>648.20000000000005</v>
      </c>
      <c r="G113" s="73">
        <f>+'Monthly Historical Flow-Gen'!F72</f>
        <v>537.83794377510048</v>
      </c>
      <c r="H113" s="73">
        <f>+'Monthly Historical Flow-Gen'!G72</f>
        <v>177.54554303991102</v>
      </c>
      <c r="I113" s="73">
        <f>+'Monthly Historical Flow-Gen'!H72</f>
        <v>164.12173735725938</v>
      </c>
      <c r="J113" s="73">
        <f>+'Monthly Historical Flow-Gen'!I72</f>
        <v>69.480255379522362</v>
      </c>
      <c r="K113" s="73">
        <f>+'Monthly Historical Flow-Gen'!J72</f>
        <v>2.127102072741494</v>
      </c>
      <c r="L113" s="73">
        <f>+'Monthly Historical Flow-Gen'!K72</f>
        <v>66.524529693839924</v>
      </c>
      <c r="M113" s="73">
        <f>+'Monthly Historical Flow-Gen'!L72</f>
        <v>369.67885952712101</v>
      </c>
      <c r="N113" s="74">
        <f>+'Monthly Historical Flow-Gen'!M72</f>
        <v>800.55405580791682</v>
      </c>
      <c r="O113" s="85"/>
      <c r="P113" s="189"/>
      <c r="Q113" s="5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 spans="1:29" ht="15" customHeight="1" x14ac:dyDescent="0.25">
      <c r="B114" s="22" t="s">
        <v>67</v>
      </c>
      <c r="C114" s="47">
        <f>IF($P112="Pre",IF('cfs limit calculation'!B$17&gt;'Calculations - Outliers Removed'!C113,'Calculations - Outliers Removed'!C113,'cfs limit calculation'!B$17),IF('cfs limit calculation'!B$19&gt;'Calculations - Outliers Removed'!C113,'Calculations - Outliers Removed'!C113,'cfs limit calculation'!B$19))</f>
        <v>519.62955551086077</v>
      </c>
      <c r="D114" s="32">
        <f>IF($P112="Pre",IF('cfs limit calculation'!C$17&gt;'Calculations - Outliers Removed'!D113,'Calculations - Outliers Removed'!D113,'cfs limit calculation'!C$17),IF('cfs limit calculation'!C$19&gt;'Calculations - Outliers Removed'!D113,'Calculations - Outliers Removed'!D113,'cfs limit calculation'!C$19))</f>
        <v>522.05999999999995</v>
      </c>
      <c r="E114" s="31">
        <f>IF($P112="Pre",IF('cfs limit calculation'!D$17&gt;'Calculations - Outliers Removed'!E113,'Calculations - Outliers Removed'!E113,'cfs limit calculation'!D$17),IF('cfs limit calculation'!D$19&gt;'Calculations - Outliers Removed'!E113,'Calculations - Outliers Removed'!E113,'cfs limit calculation'!D$19))</f>
        <v>572.88</v>
      </c>
      <c r="F114" s="32">
        <f>IF($P112="Pre",IF('cfs limit calculation'!E$17&gt;'Calculations - Outliers Removed'!F113,'Calculations - Outliers Removed'!F113,'cfs limit calculation'!E$17),IF('cfs limit calculation'!E$19&gt;'Calculations - Outliers Removed'!F113,'Calculations - Outliers Removed'!F113,'cfs limit calculation'!E$19))</f>
        <v>554.4</v>
      </c>
      <c r="G114" s="32">
        <f>IF($P112="Pre",IF('cfs limit calculation'!F$17&gt;'Calculations - Outliers Removed'!G113,'Calculations - Outliers Removed'!G113,'cfs limit calculation'!F$17),IF('cfs limit calculation'!F$19&gt;'Calculations - Outliers Removed'!G113,'Calculations - Outliers Removed'!G113,'cfs limit calculation'!F$19))</f>
        <v>537.83794377510048</v>
      </c>
      <c r="H114" s="32">
        <f>IF($P112="Pre",IF('cfs limit calculation'!G$17&gt;'Calculations - Outliers Removed'!H113,'Calculations - Outliers Removed'!H113,'cfs limit calculation'!G$17),IF('cfs limit calculation'!G$19&gt;'Calculations - Outliers Removed'!H113,'Calculations - Outliers Removed'!H113,'cfs limit calculation'!G$19))</f>
        <v>177.54554303991102</v>
      </c>
      <c r="I114" s="32">
        <f>IF($P112="Pre",IF('cfs limit calculation'!H$17&gt;'Calculations - Outliers Removed'!I113,'Calculations - Outliers Removed'!I113,'cfs limit calculation'!H$17),IF('cfs limit calculation'!H$19&gt;'Calculations - Outliers Removed'!I113,'Calculations - Outliers Removed'!I113,'cfs limit calculation'!H$19))</f>
        <v>164.12173735725938</v>
      </c>
      <c r="J114" s="32">
        <f>IF($P112="Pre",IF('cfs limit calculation'!I$17&gt;'Calculations - Outliers Removed'!J113,'Calculations - Outliers Removed'!J113,'cfs limit calculation'!I$17),IF('cfs limit calculation'!I$19&gt;'Calculations - Outliers Removed'!J113,'Calculations - Outliers Removed'!J113,'cfs limit calculation'!I$19))</f>
        <v>69.480255379522362</v>
      </c>
      <c r="K114" s="32">
        <f>IF($P112="Pre",IF('cfs limit calculation'!J$17&gt;'Calculations - Outliers Removed'!K113,'Calculations - Outliers Removed'!K113,'cfs limit calculation'!J$17),IF('cfs limit calculation'!J$19&gt;'Calculations - Outliers Removed'!K113,'Calculations - Outliers Removed'!K113,'cfs limit calculation'!J$19))</f>
        <v>2.127102072741494</v>
      </c>
      <c r="L114" s="32">
        <f>IF($P112="Pre",IF('cfs limit calculation'!K$17&gt;'Calculations - Outliers Removed'!L113,'Calculations - Outliers Removed'!L113,'cfs limit calculation'!K$17),IF('cfs limit calculation'!K$19&gt;'Calculations - Outliers Removed'!L113,'Calculations - Outliers Removed'!L113,'cfs limit calculation'!K$19))</f>
        <v>66.524529693839924</v>
      </c>
      <c r="M114" s="32">
        <f>IF($P112="Pre",IF('cfs limit calculation'!L$17&gt;'Calculations - Outliers Removed'!M113,'Calculations - Outliers Removed'!M113,'cfs limit calculation'!L$17),IF('cfs limit calculation'!L$19&gt;'Calculations - Outliers Removed'!M113,'Calculations - Outliers Removed'!M113,'cfs limit calculation'!L$19))</f>
        <v>369.67885952712101</v>
      </c>
      <c r="N114" s="74">
        <f>IF($P112="Pre",IF('cfs limit calculation'!M$17&gt;'Calculations - Outliers Removed'!N113,'Calculations - Outliers Removed'!N113,'cfs limit calculation'!M$17),IF('cfs limit calculation'!M$19&gt;'Calculations - Outliers Removed'!N113,'Calculations - Outliers Removed'!N113,'cfs limit calculation'!M$19))</f>
        <v>572.88</v>
      </c>
      <c r="O114" s="85"/>
      <c r="P114" s="189"/>
      <c r="Q114" s="5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 spans="1:29" ht="15" customHeight="1" thickBot="1" x14ac:dyDescent="0.3">
      <c r="A115" s="44"/>
      <c r="B115" s="50" t="s">
        <v>42</v>
      </c>
      <c r="C115" s="265">
        <f t="shared" ref="C115:N115" si="42">+C114/C112</f>
        <v>0.69599077326251935</v>
      </c>
      <c r="D115" s="272">
        <f t="shared" si="42"/>
        <v>0.56308474576271172</v>
      </c>
      <c r="E115" s="272">
        <f t="shared" si="42"/>
        <v>0.61789830508474575</v>
      </c>
      <c r="F115" s="272">
        <f t="shared" si="42"/>
        <v>0.59796610169491515</v>
      </c>
      <c r="G115" s="272">
        <f t="shared" si="42"/>
        <v>0.7974001153666157</v>
      </c>
      <c r="H115" s="272">
        <f t="shared" si="42"/>
        <v>0.66943058528068256</v>
      </c>
      <c r="I115" s="272">
        <f t="shared" si="42"/>
        <v>0.49885719085575853</v>
      </c>
      <c r="J115" s="272">
        <f t="shared" si="42"/>
        <v>0.14928538975623856</v>
      </c>
      <c r="K115" s="272">
        <f t="shared" si="42"/>
        <v>3.0862725522053814E-3</v>
      </c>
      <c r="L115" s="272">
        <f t="shared" si="42"/>
        <v>0.11061628875233794</v>
      </c>
      <c r="M115" s="272">
        <f t="shared" si="42"/>
        <v>0.51586251606605082</v>
      </c>
      <c r="N115" s="273">
        <f t="shared" si="42"/>
        <v>0.61789830508474575</v>
      </c>
      <c r="O115" s="78"/>
      <c r="P115" s="191"/>
      <c r="Q115" s="5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 spans="1:29" ht="15" customHeight="1" x14ac:dyDescent="0.25">
      <c r="A116" s="85">
        <v>2009</v>
      </c>
      <c r="B116" s="58" t="s">
        <v>45</v>
      </c>
      <c r="C116" s="47">
        <f>+'Monthly Historical Flow-Gen'!B47</f>
        <v>1035.1514423076922</v>
      </c>
      <c r="D116" s="94">
        <f>+'Monthly Historical Flow-Gen'!C47</f>
        <v>929.59615384615381</v>
      </c>
      <c r="E116" s="94">
        <f>+'Monthly Historical Flow-Gen'!D47</f>
        <v>1076.8413461538462</v>
      </c>
      <c r="F116" s="94">
        <f>+'Monthly Historical Flow-Gen'!E47</f>
        <v>1085.7115384615383</v>
      </c>
      <c r="G116" s="94">
        <f>+'Monthly Historical Flow-Gen'!F47</f>
        <v>510.21346153846156</v>
      </c>
      <c r="H116" s="94">
        <f>+'Monthly Historical Flow-Gen'!G47</f>
        <v>441.82427884615385</v>
      </c>
      <c r="I116" s="94">
        <f>+'Monthly Historical Flow-Gen'!H47</f>
        <v>1264.0024038461538</v>
      </c>
      <c r="J116" s="94">
        <f>+'Monthly Historical Flow-Gen'!I47</f>
        <v>530.26009615384612</v>
      </c>
      <c r="K116" s="94">
        <f>+'Monthly Historical Flow-Gen'!J47</f>
        <v>213.23942307692306</v>
      </c>
      <c r="L116" s="32">
        <f>+'Monthly Historical Flow-Gen'!K47</f>
        <v>526.53461538461534</v>
      </c>
      <c r="M116" s="32">
        <f>+'Monthly Historical Flow-Gen'!L47</f>
        <v>782.35096153846155</v>
      </c>
      <c r="N116" s="82">
        <f>+'Monthly Historical Flow-Gen'!M47</f>
        <v>1234.7307692307693</v>
      </c>
      <c r="O116" s="86">
        <f>+A116</f>
        <v>2009</v>
      </c>
      <c r="P116" s="188"/>
      <c r="Q116" s="5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 spans="1:29" ht="15" customHeight="1" x14ac:dyDescent="0.25">
      <c r="A117" s="85"/>
      <c r="B117" s="48" t="s">
        <v>43</v>
      </c>
      <c r="C117" s="47">
        <f>IF(C116&gt;$O117,$O117,C116)</f>
        <v>927.14285714285722</v>
      </c>
      <c r="D117" s="46">
        <f t="shared" ref="D117:N117" si="43">IF(D116&gt;$O117,$O117,D116)</f>
        <v>927.14285714285722</v>
      </c>
      <c r="E117" s="46">
        <f t="shared" si="43"/>
        <v>927.14285714285722</v>
      </c>
      <c r="F117" s="46">
        <f t="shared" si="43"/>
        <v>927.14285714285722</v>
      </c>
      <c r="G117" s="46">
        <f t="shared" si="43"/>
        <v>510.21346153846156</v>
      </c>
      <c r="H117" s="46">
        <f t="shared" si="43"/>
        <v>441.82427884615385</v>
      </c>
      <c r="I117" s="46">
        <f t="shared" si="43"/>
        <v>927.14285714285722</v>
      </c>
      <c r="J117" s="46">
        <f t="shared" si="43"/>
        <v>530.26009615384612</v>
      </c>
      <c r="K117" s="46">
        <f t="shared" si="43"/>
        <v>213.23942307692306</v>
      </c>
      <c r="L117" s="46">
        <f t="shared" si="43"/>
        <v>526.53461538461534</v>
      </c>
      <c r="M117" s="46">
        <f t="shared" si="43"/>
        <v>782.35096153846155</v>
      </c>
      <c r="N117" s="45">
        <f t="shared" si="43"/>
        <v>927.14285714285722</v>
      </c>
      <c r="O117" s="185">
        <f>IF(P117="Pre",'cfs limit calculation'!$E$6,'cfs limit calculation'!$E$11)</f>
        <v>927.14285714285722</v>
      </c>
      <c r="P117" s="190" t="str">
        <f>+Calculations!P117</f>
        <v>Pre</v>
      </c>
      <c r="Q117" s="5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 spans="1:29" ht="15" customHeight="1" x14ac:dyDescent="0.25">
      <c r="A118" s="85"/>
      <c r="B118" s="8" t="s">
        <v>44</v>
      </c>
      <c r="C118" s="47">
        <f>+'Monthly Historical Flow-Gen'!B73</f>
        <v>720.45585277554301</v>
      </c>
      <c r="D118" s="73">
        <f>+'Monthly Historical Flow-Gen'!C73</f>
        <v>653.65386695511086</v>
      </c>
      <c r="E118" s="73">
        <f>+'Monthly Historical Flow-Gen'!D73</f>
        <v>712.03788878416583</v>
      </c>
      <c r="F118" s="73">
        <f>+'Monthly Historical Flow-Gen'!E73</f>
        <v>728.55537190082646</v>
      </c>
      <c r="G118" s="73">
        <f>+'Monthly Historical Flow-Gen'!F73</f>
        <v>406.84427309236958</v>
      </c>
      <c r="H118" s="73">
        <f>+'Monthly Historical Flow-Gen'!G73</f>
        <v>295.77068557919625</v>
      </c>
      <c r="I118" s="73">
        <f>+'Monthly Historical Flow-Gen'!H73</f>
        <v>630.55668841761826</v>
      </c>
      <c r="J118" s="73">
        <f>+'Monthly Historical Flow-Gen'!I73</f>
        <v>79.160085126507454</v>
      </c>
      <c r="K118" s="73">
        <f>+'Monthly Historical Flow-Gen'!J73</f>
        <v>0.65811497849041845</v>
      </c>
      <c r="L118" s="73">
        <f>+'Monthly Historical Flow-Gen'!K73</f>
        <v>58.243305053485798</v>
      </c>
      <c r="M118" s="73">
        <f>+'Monthly Historical Flow-Gen'!L73</f>
        <v>405</v>
      </c>
      <c r="N118" s="74">
        <f>+'Monthly Historical Flow-Gen'!M73</f>
        <v>717</v>
      </c>
      <c r="O118" s="85"/>
      <c r="P118" s="189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 spans="1:29" ht="15" customHeight="1" x14ac:dyDescent="0.25">
      <c r="B119" s="22" t="s">
        <v>67</v>
      </c>
      <c r="C119" s="47">
        <f>IF($P117="Pre",IF('cfs limit calculation'!B$17&gt;'Calculations - Outliers Removed'!C118,'Calculations - Outliers Removed'!C118,'cfs limit calculation'!B$17),IF('cfs limit calculation'!B$19&gt;'Calculations - Outliers Removed'!C118,'Calculations - Outliers Removed'!C118,'cfs limit calculation'!B$19))</f>
        <v>572.88</v>
      </c>
      <c r="D119" s="32">
        <f>IF($P117="Pre",IF('cfs limit calculation'!C$17&gt;'Calculations - Outliers Removed'!D118,'Calculations - Outliers Removed'!D118,'cfs limit calculation'!C$17),IF('cfs limit calculation'!C$19&gt;'Calculations - Outliers Removed'!D118,'Calculations - Outliers Removed'!D118,'cfs limit calculation'!C$19))</f>
        <v>522.05999999999995</v>
      </c>
      <c r="E119" s="31">
        <f>IF($P117="Pre",IF('cfs limit calculation'!D$17&gt;'Calculations - Outliers Removed'!E118,'Calculations - Outliers Removed'!E118,'cfs limit calculation'!D$17),IF('cfs limit calculation'!D$19&gt;'Calculations - Outliers Removed'!E118,'Calculations - Outliers Removed'!E118,'cfs limit calculation'!D$19))</f>
        <v>572.88</v>
      </c>
      <c r="F119" s="32">
        <f>IF($P117="Pre",IF('cfs limit calculation'!E$17&gt;'Calculations - Outliers Removed'!F118,'Calculations - Outliers Removed'!F118,'cfs limit calculation'!E$17),IF('cfs limit calculation'!E$19&gt;'Calculations - Outliers Removed'!F118,'Calculations - Outliers Removed'!F118,'cfs limit calculation'!E$19))</f>
        <v>554.4</v>
      </c>
      <c r="G119" s="32">
        <f>IF($P117="Pre",IF('cfs limit calculation'!F$17&gt;'Calculations - Outliers Removed'!G118,'Calculations - Outliers Removed'!G118,'cfs limit calculation'!F$17),IF('cfs limit calculation'!F$19&gt;'Calculations - Outliers Removed'!G118,'Calculations - Outliers Removed'!G118,'cfs limit calculation'!F$19))</f>
        <v>406.84427309236958</v>
      </c>
      <c r="H119" s="32">
        <f>IF($P117="Pre",IF('cfs limit calculation'!G$17&gt;'Calculations - Outliers Removed'!H118,'Calculations - Outliers Removed'!H118,'cfs limit calculation'!G$17),IF('cfs limit calculation'!G$19&gt;'Calculations - Outliers Removed'!H118,'Calculations - Outliers Removed'!H118,'cfs limit calculation'!G$19))</f>
        <v>295.77068557919625</v>
      </c>
      <c r="I119" s="32">
        <f>IF($P117="Pre",IF('cfs limit calculation'!H$17&gt;'Calculations - Outliers Removed'!I118,'Calculations - Outliers Removed'!I118,'cfs limit calculation'!H$17),IF('cfs limit calculation'!H$19&gt;'Calculations - Outliers Removed'!I118,'Calculations - Outliers Removed'!I118,'cfs limit calculation'!H$19))</f>
        <v>572.88</v>
      </c>
      <c r="J119" s="32">
        <f>IF($P117="Pre",IF('cfs limit calculation'!I$17&gt;'Calculations - Outliers Removed'!J118,'Calculations - Outliers Removed'!J118,'cfs limit calculation'!I$17),IF('cfs limit calculation'!I$19&gt;'Calculations - Outliers Removed'!J118,'Calculations - Outliers Removed'!J118,'cfs limit calculation'!I$19))</f>
        <v>79.160085126507454</v>
      </c>
      <c r="K119" s="32">
        <f>IF($P117="Pre",IF('cfs limit calculation'!J$17&gt;'Calculations - Outliers Removed'!K118,'Calculations - Outliers Removed'!K118,'cfs limit calculation'!J$17),IF('cfs limit calculation'!J$19&gt;'Calculations - Outliers Removed'!K118,'Calculations - Outliers Removed'!K118,'cfs limit calculation'!J$19))</f>
        <v>0.65811497849041845</v>
      </c>
      <c r="L119" s="32">
        <f>IF($P117="Pre",IF('cfs limit calculation'!K$17&gt;'Calculations - Outliers Removed'!L118,'Calculations - Outliers Removed'!L118,'cfs limit calculation'!K$17),IF('cfs limit calculation'!K$19&gt;'Calculations - Outliers Removed'!L118,'Calculations - Outliers Removed'!L118,'cfs limit calculation'!K$19))</f>
        <v>58.243305053485798</v>
      </c>
      <c r="M119" s="32">
        <f>IF($P117="Pre",IF('cfs limit calculation'!L$17&gt;'Calculations - Outliers Removed'!M118,'Calculations - Outliers Removed'!M118,'cfs limit calculation'!L$17),IF('cfs limit calculation'!L$19&gt;'Calculations - Outliers Removed'!M118,'Calculations - Outliers Removed'!M118,'cfs limit calculation'!L$19))</f>
        <v>405</v>
      </c>
      <c r="N119" s="74">
        <f>IF($P117="Pre",IF('cfs limit calculation'!M$17&gt;'Calculations - Outliers Removed'!N118,'Calculations - Outliers Removed'!N118,'cfs limit calculation'!M$17),IF('cfs limit calculation'!M$19&gt;'Calculations - Outliers Removed'!N118,'Calculations - Outliers Removed'!N118,'cfs limit calculation'!M$19))</f>
        <v>572.88</v>
      </c>
      <c r="O119" s="65"/>
      <c r="P119" s="48"/>
      <c r="Q119" s="5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 spans="1:29" ht="15" customHeight="1" thickBot="1" x14ac:dyDescent="0.3">
      <c r="A120" s="44"/>
      <c r="B120" s="50" t="s">
        <v>42</v>
      </c>
      <c r="C120" s="265">
        <f t="shared" ref="C120:N120" si="44">+C119/C117</f>
        <v>0.61789830508474575</v>
      </c>
      <c r="D120" s="272">
        <f t="shared" si="44"/>
        <v>0.56308474576271172</v>
      </c>
      <c r="E120" s="272">
        <f t="shared" si="44"/>
        <v>0.61789830508474575</v>
      </c>
      <c r="F120" s="272">
        <f t="shared" si="44"/>
        <v>0.59796610169491515</v>
      </c>
      <c r="G120" s="272">
        <f t="shared" si="44"/>
        <v>0.7974001153666157</v>
      </c>
      <c r="H120" s="272">
        <f t="shared" si="44"/>
        <v>0.66943058528068256</v>
      </c>
      <c r="I120" s="272">
        <f t="shared" si="44"/>
        <v>0.61789830508474575</v>
      </c>
      <c r="J120" s="272">
        <f t="shared" si="44"/>
        <v>0.14928538975623856</v>
      </c>
      <c r="K120" s="272">
        <f t="shared" si="44"/>
        <v>3.0862725522053814E-3</v>
      </c>
      <c r="L120" s="272">
        <f t="shared" si="44"/>
        <v>0.11061628875233792</v>
      </c>
      <c r="M120" s="272">
        <f t="shared" si="44"/>
        <v>0.51767048282727723</v>
      </c>
      <c r="N120" s="291">
        <f t="shared" si="44"/>
        <v>0.61789830508474575</v>
      </c>
      <c r="O120" s="206" t="s">
        <v>78</v>
      </c>
      <c r="P120" s="207"/>
      <c r="Q120" s="5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 spans="1:29" ht="15" customHeight="1" x14ac:dyDescent="0.35">
      <c r="A121" s="86">
        <v>2010</v>
      </c>
      <c r="B121" s="58" t="s">
        <v>45</v>
      </c>
      <c r="C121" s="47">
        <f>+'Monthly Historical Flow-Gen'!B48</f>
        <v>1040.4735576923076</v>
      </c>
      <c r="D121" s="94">
        <f>+'Monthly Historical Flow-Gen'!C48</f>
        <v>1161.1081730769231</v>
      </c>
      <c r="E121" s="94">
        <f>+'Monthly Historical Flow-Gen'!D48</f>
        <v>3124.96875</v>
      </c>
      <c r="F121" s="94">
        <f>+'Monthly Historical Flow-Gen'!E48</f>
        <v>1728.8004807692307</v>
      </c>
      <c r="G121" s="94">
        <f>+'Monthly Historical Flow-Gen'!F48</f>
        <v>514.82596153846146</v>
      </c>
      <c r="H121" s="94">
        <f>+'Monthly Historical Flow-Gen'!G48</f>
        <v>405.7225961538461</v>
      </c>
      <c r="I121" s="94">
        <f>+'Monthly Historical Flow-Gen'!H48</f>
        <v>129.32740384615386</v>
      </c>
      <c r="J121" s="94">
        <f>+'Monthly Historical Flow-Gen'!I48</f>
        <v>128.17427884615384</v>
      </c>
      <c r="K121" s="94">
        <f>+'Monthly Historical Flow-Gen'!J48</f>
        <v>113.89326923076923</v>
      </c>
      <c r="L121" s="32">
        <f>+'Monthly Historical Flow-Gen'!K48</f>
        <v>397.65072115384612</v>
      </c>
      <c r="M121" s="32">
        <f>+'Monthly Historical Flow-Gen'!L48</f>
        <v>463.7336538461538</v>
      </c>
      <c r="N121" s="82">
        <f>+'Monthly Historical Flow-Gen'!M48</f>
        <v>666.59495192307691</v>
      </c>
      <c r="O121" s="85">
        <f>+A121</f>
        <v>2010</v>
      </c>
      <c r="P121" s="189"/>
      <c r="R121" s="17"/>
      <c r="S121" s="17"/>
      <c r="T121" s="17"/>
      <c r="U121" s="17"/>
      <c r="V121" s="17"/>
      <c r="W121" s="17"/>
      <c r="X121" s="17"/>
      <c r="Y121" s="17"/>
      <c r="Z121" s="17"/>
      <c r="AA121" s="67"/>
      <c r="AB121" s="67"/>
      <c r="AC121" s="67"/>
    </row>
    <row r="122" spans="1:29" ht="15" customHeight="1" x14ac:dyDescent="0.35">
      <c r="A122" s="125"/>
      <c r="B122" s="48" t="s">
        <v>43</v>
      </c>
      <c r="C122" s="47">
        <f>IF(C121&gt;$O122,$O122,C121)</f>
        <v>927.14285714285722</v>
      </c>
      <c r="D122" s="46">
        <f t="shared" ref="D122:N122" si="45">IF(D121&gt;$O122,$O122,D121)</f>
        <v>927.14285714285722</v>
      </c>
      <c r="E122" s="46">
        <f t="shared" si="45"/>
        <v>927.14285714285722</v>
      </c>
      <c r="F122" s="46">
        <f t="shared" si="45"/>
        <v>927.14285714285722</v>
      </c>
      <c r="G122" s="46">
        <f t="shared" si="45"/>
        <v>514.82596153846146</v>
      </c>
      <c r="H122" s="46">
        <f t="shared" si="45"/>
        <v>405.7225961538461</v>
      </c>
      <c r="I122" s="46">
        <f t="shared" si="45"/>
        <v>129.32740384615386</v>
      </c>
      <c r="J122" s="46">
        <f t="shared" si="45"/>
        <v>128.17427884615384</v>
      </c>
      <c r="K122" s="46">
        <f t="shared" si="45"/>
        <v>113.89326923076923</v>
      </c>
      <c r="L122" s="46">
        <f t="shared" si="45"/>
        <v>397.65072115384612</v>
      </c>
      <c r="M122" s="46">
        <f t="shared" si="45"/>
        <v>463.7336538461538</v>
      </c>
      <c r="N122" s="45">
        <f t="shared" si="45"/>
        <v>666.59495192307691</v>
      </c>
      <c r="O122" s="185">
        <f>IF(P122="Pre",'cfs limit calculation'!$E$6,'cfs limit calculation'!$E$11)</f>
        <v>927.14285714285722</v>
      </c>
      <c r="P122" s="190" t="str">
        <f>+Calculations!P122</f>
        <v>Post</v>
      </c>
      <c r="R122" s="17"/>
      <c r="S122" s="17"/>
      <c r="T122" s="17"/>
      <c r="U122" s="17"/>
      <c r="V122" s="17"/>
      <c r="W122" s="17"/>
      <c r="X122" s="17"/>
      <c r="Y122" s="17"/>
      <c r="Z122" s="17"/>
      <c r="AA122" s="67"/>
      <c r="AB122" s="67"/>
      <c r="AC122" s="67"/>
    </row>
    <row r="123" spans="1:29" ht="15" customHeight="1" x14ac:dyDescent="0.25">
      <c r="A123" s="85"/>
      <c r="B123" s="8" t="s">
        <v>44</v>
      </c>
      <c r="C123" s="47">
        <f>+'Monthly Historical Flow-Gen'!B74</f>
        <v>669</v>
      </c>
      <c r="D123" s="46">
        <f>+'Monthly Historical Flow-Gen'!C74</f>
        <v>554</v>
      </c>
      <c r="E123" s="46">
        <f>+'Monthly Historical Flow-Gen'!D74</f>
        <v>742</v>
      </c>
      <c r="F123" s="46">
        <f>+'Monthly Historical Flow-Gen'!E74</f>
        <v>731</v>
      </c>
      <c r="G123" s="46">
        <f>+'Monthly Historical Flow-Gen'!F74</f>
        <v>419</v>
      </c>
      <c r="H123" s="46">
        <f>+'Monthly Historical Flow-Gen'!G74</f>
        <v>272</v>
      </c>
      <c r="I123" s="46">
        <f>+'Monthly Historical Flow-Gen'!H74</f>
        <v>0</v>
      </c>
      <c r="J123" s="46">
        <f>+'Monthly Historical Flow-Gen'!I74</f>
        <v>2</v>
      </c>
      <c r="K123" s="46">
        <f>+'Monthly Historical Flow-Gen'!J74</f>
        <v>0</v>
      </c>
      <c r="L123" s="46">
        <f>+'Monthly Historical Flow-Gen'!K74</f>
        <v>248</v>
      </c>
      <c r="M123" s="46">
        <f>+'Monthly Historical Flow-Gen'!L74</f>
        <v>383</v>
      </c>
      <c r="N123" s="45">
        <f>+'Monthly Historical Flow-Gen'!M74</f>
        <v>472</v>
      </c>
      <c r="O123" s="85"/>
      <c r="P123" s="189"/>
    </row>
    <row r="124" spans="1:29" ht="15" customHeight="1" x14ac:dyDescent="0.25">
      <c r="B124" s="22" t="s">
        <v>67</v>
      </c>
      <c r="C124" s="47">
        <f>IF($P122="Pre",IF('cfs limit calculation'!B$17&gt;'Calculations - Outliers Removed'!C123,'Calculations - Outliers Removed'!C123,'cfs limit calculation'!B$17),IF('cfs limit calculation'!B$19&gt;'Calculations - Outliers Removed'!C123,'Calculations - Outliers Removed'!C123,'cfs limit calculation'!B$19))</f>
        <v>572.88</v>
      </c>
      <c r="D124" s="46">
        <f>IF($P122="Pre",IF('cfs limit calculation'!C$17&gt;'Calculations - Outliers Removed'!D123,'Calculations - Outliers Removed'!D123,'cfs limit calculation'!C$17),IF('cfs limit calculation'!C$19&gt;'Calculations - Outliers Removed'!D123,'Calculations - Outliers Removed'!D123,'cfs limit calculation'!C$19))</f>
        <v>522.05999999999995</v>
      </c>
      <c r="E124" s="46">
        <f>IF($P122="Pre",IF('cfs limit calculation'!D$17&gt;'Calculations - Outliers Removed'!E123,'Calculations - Outliers Removed'!E123,'cfs limit calculation'!D$17),IF('cfs limit calculation'!D$19&gt;'Calculations - Outliers Removed'!E123,'Calculations - Outliers Removed'!E123,'cfs limit calculation'!D$19))</f>
        <v>572.88</v>
      </c>
      <c r="F124" s="46">
        <f>IF($P122="Pre",IF('cfs limit calculation'!E$17&gt;'Calculations - Outliers Removed'!F123,'Calculations - Outliers Removed'!F123,'cfs limit calculation'!E$17),IF('cfs limit calculation'!E$19&gt;'Calculations - Outliers Removed'!F123,'Calculations - Outliers Removed'!F123,'cfs limit calculation'!E$19))</f>
        <v>554.4</v>
      </c>
      <c r="G124" s="46">
        <f>IF($P122="Pre",IF('cfs limit calculation'!F$17&gt;'Calculations - Outliers Removed'!G123,'Calculations - Outliers Removed'!G123,'cfs limit calculation'!F$17),IF('cfs limit calculation'!F$19&gt;'Calculations - Outliers Removed'!G123,'Calculations - Outliers Removed'!G123,'cfs limit calculation'!F$19))</f>
        <v>419</v>
      </c>
      <c r="H124" s="46">
        <f>IF($P122="Pre",IF('cfs limit calculation'!G$17&gt;'Calculations - Outliers Removed'!H123,'Calculations - Outliers Removed'!H123,'cfs limit calculation'!G$17),IF('cfs limit calculation'!G$19&gt;'Calculations - Outliers Removed'!H123,'Calculations - Outliers Removed'!H123,'cfs limit calculation'!G$19))</f>
        <v>272</v>
      </c>
      <c r="I124" s="46">
        <f>IF($P122="Pre",IF('cfs limit calculation'!H$17&gt;'Calculations - Outliers Removed'!I123,'Calculations - Outliers Removed'!I123,'cfs limit calculation'!H$17),IF('cfs limit calculation'!H$19&gt;'Calculations - Outliers Removed'!I123,'Calculations - Outliers Removed'!I123,'cfs limit calculation'!H$19))</f>
        <v>0</v>
      </c>
      <c r="J124" s="46">
        <f>IF($P122="Pre",IF('cfs limit calculation'!I$17&gt;'Calculations - Outliers Removed'!J123,'Calculations - Outliers Removed'!J123,'cfs limit calculation'!I$17),IF('cfs limit calculation'!I$19&gt;'Calculations - Outliers Removed'!J123,'Calculations - Outliers Removed'!J123,'cfs limit calculation'!I$19))</f>
        <v>2</v>
      </c>
      <c r="K124" s="46">
        <f>IF($P122="Pre",IF('cfs limit calculation'!J$17&gt;'Calculations - Outliers Removed'!K123,'Calculations - Outliers Removed'!K123,'cfs limit calculation'!J$17),IF('cfs limit calculation'!J$19&gt;'Calculations - Outliers Removed'!K123,'Calculations - Outliers Removed'!K123,'cfs limit calculation'!J$19))</f>
        <v>0</v>
      </c>
      <c r="L124" s="46">
        <f>IF($P122="Pre",IF('cfs limit calculation'!K$17&gt;'Calculations - Outliers Removed'!L123,'Calculations - Outliers Removed'!L123,'cfs limit calculation'!K$17),IF('cfs limit calculation'!K$19&gt;'Calculations - Outliers Removed'!L123,'Calculations - Outliers Removed'!L123,'cfs limit calculation'!K$19))</f>
        <v>248</v>
      </c>
      <c r="M124" s="46">
        <f>IF($P122="Pre",IF('cfs limit calculation'!L$17&gt;'Calculations - Outliers Removed'!M123,'Calculations - Outliers Removed'!M123,'cfs limit calculation'!L$17),IF('cfs limit calculation'!L$19&gt;'Calculations - Outliers Removed'!M123,'Calculations - Outliers Removed'!M123,'cfs limit calculation'!L$19))</f>
        <v>383</v>
      </c>
      <c r="N124" s="45">
        <f>IF($P122="Pre",IF('cfs limit calculation'!M$17&gt;'Calculations - Outliers Removed'!N123,'Calculations - Outliers Removed'!N123,'cfs limit calculation'!M$17),IF('cfs limit calculation'!M$19&gt;'Calculations - Outliers Removed'!N123,'Calculations - Outliers Removed'!N123,'cfs limit calculation'!M$19))</f>
        <v>472</v>
      </c>
      <c r="O124" s="85"/>
      <c r="P124" s="189"/>
    </row>
    <row r="125" spans="1:29" ht="15" customHeight="1" thickBot="1" x14ac:dyDescent="0.3">
      <c r="A125" s="85"/>
      <c r="B125" s="50" t="s">
        <v>42</v>
      </c>
      <c r="C125" s="265">
        <f t="shared" ref="C125:N125" si="46">+C124/C122</f>
        <v>0.61789830508474575</v>
      </c>
      <c r="D125" s="266">
        <f t="shared" si="46"/>
        <v>0.56308474576271172</v>
      </c>
      <c r="E125" s="266">
        <f t="shared" si="46"/>
        <v>0.61789830508474575</v>
      </c>
      <c r="F125" s="266">
        <f t="shared" si="46"/>
        <v>0.59796610169491515</v>
      </c>
      <c r="G125" s="266">
        <f t="shared" si="46"/>
        <v>0.81386727030605954</v>
      </c>
      <c r="H125" s="266">
        <f t="shared" si="46"/>
        <v>0.6704088029074432</v>
      </c>
      <c r="I125" s="289">
        <f t="shared" si="46"/>
        <v>0</v>
      </c>
      <c r="J125" s="266">
        <f t="shared" si="46"/>
        <v>1.5603754653463491E-2</v>
      </c>
      <c r="K125" s="266">
        <f t="shared" si="46"/>
        <v>0</v>
      </c>
      <c r="L125" s="266">
        <f t="shared" si="46"/>
        <v>0.62366289511657114</v>
      </c>
      <c r="M125" s="266">
        <f t="shared" si="46"/>
        <v>0.82590512209636258</v>
      </c>
      <c r="N125" s="267">
        <f t="shared" si="46"/>
        <v>0.70807616925137984</v>
      </c>
      <c r="O125" s="78"/>
      <c r="P125" s="191"/>
    </row>
    <row r="126" spans="1:29" ht="15" customHeight="1" x14ac:dyDescent="0.25">
      <c r="A126" s="86">
        <v>2011</v>
      </c>
      <c r="B126" s="58" t="s">
        <v>45</v>
      </c>
      <c r="C126" s="47">
        <f>+'Monthly Historical Flow-Gen'!B49</f>
        <v>476.15192307692303</v>
      </c>
      <c r="D126" s="94">
        <f>+'Monthly Historical Flow-Gen'!C49</f>
        <v>750.50697115384617</v>
      </c>
      <c r="E126" s="94">
        <f>+'Monthly Historical Flow-Gen'!D49</f>
        <v>2189.1634615384614</v>
      </c>
      <c r="F126" s="94">
        <f>+'Monthly Historical Flow-Gen'!E49</f>
        <v>1207.2331730769231</v>
      </c>
      <c r="G126" s="94">
        <f>+'Monthly Historical Flow-Gen'!F49</f>
        <v>745.45096153846146</v>
      </c>
      <c r="H126" s="94">
        <f>+'Monthly Historical Flow-Gen'!G49</f>
        <v>604.94711538461536</v>
      </c>
      <c r="I126" s="94">
        <f>+'Monthly Historical Flow-Gen'!H49</f>
        <v>236.83413461538461</v>
      </c>
      <c r="J126" s="94">
        <f>+'Monthly Historical Flow-Gen'!I49</f>
        <v>899.4375</v>
      </c>
      <c r="K126" s="94">
        <f>+'Monthly Historical Flow-Gen'!J49</f>
        <v>1256.90625</v>
      </c>
      <c r="L126" s="32">
        <f>+'Monthly Historical Flow-Gen'!K49</f>
        <v>1267.5504807692307</v>
      </c>
      <c r="M126" s="32">
        <f>+'Monthly Historical Flow-Gen'!L49</f>
        <v>1354.4783653846152</v>
      </c>
      <c r="N126" s="82">
        <f>+'Monthly Historical Flow-Gen'!M49</f>
        <v>1606.3918269230769</v>
      </c>
      <c r="O126" s="85">
        <f>+A126</f>
        <v>2011</v>
      </c>
      <c r="P126" s="189"/>
    </row>
    <row r="127" spans="1:29" ht="15" customHeight="1" x14ac:dyDescent="0.25">
      <c r="A127" s="85"/>
      <c r="B127" s="48" t="s">
        <v>43</v>
      </c>
      <c r="C127" s="47">
        <f>IF(C126&gt;$O127,$O127,C126)</f>
        <v>476.15192307692303</v>
      </c>
      <c r="D127" s="46">
        <f t="shared" ref="D127:N127" si="47">IF(D126&gt;$O127,$O127,D126)</f>
        <v>750.50697115384617</v>
      </c>
      <c r="E127" s="46">
        <f t="shared" si="47"/>
        <v>927.14285714285722</v>
      </c>
      <c r="F127" s="46">
        <f t="shared" si="47"/>
        <v>927.14285714285722</v>
      </c>
      <c r="G127" s="46">
        <f t="shared" si="47"/>
        <v>745.45096153846146</v>
      </c>
      <c r="H127" s="46">
        <f t="shared" si="47"/>
        <v>604.94711538461536</v>
      </c>
      <c r="I127" s="46">
        <f t="shared" si="47"/>
        <v>236.83413461538461</v>
      </c>
      <c r="J127" s="46">
        <f t="shared" si="47"/>
        <v>899.4375</v>
      </c>
      <c r="K127" s="46">
        <f t="shared" si="47"/>
        <v>927.14285714285722</v>
      </c>
      <c r="L127" s="46">
        <f t="shared" si="47"/>
        <v>927.14285714285722</v>
      </c>
      <c r="M127" s="46">
        <f t="shared" si="47"/>
        <v>927.14285714285722</v>
      </c>
      <c r="N127" s="45">
        <f t="shared" si="47"/>
        <v>927.14285714285722</v>
      </c>
      <c r="O127" s="185">
        <f>IF(P127="Pre",'cfs limit calculation'!$E$6,'cfs limit calculation'!$E$11)</f>
        <v>927.14285714285722</v>
      </c>
      <c r="P127" s="190" t="str">
        <f>+Calculations!P127</f>
        <v>Post</v>
      </c>
    </row>
    <row r="128" spans="1:29" ht="15" customHeight="1" x14ac:dyDescent="0.25">
      <c r="A128" s="85"/>
      <c r="B128" s="8" t="s">
        <v>44</v>
      </c>
      <c r="C128" s="47">
        <f>+'Monthly Historical Flow-Gen'!B75</f>
        <v>397</v>
      </c>
      <c r="D128" s="46">
        <f>+'Monthly Historical Flow-Gen'!C75</f>
        <v>492</v>
      </c>
      <c r="E128" s="46">
        <f>+'Monthly Historical Flow-Gen'!D75</f>
        <v>760</v>
      </c>
      <c r="F128" s="46">
        <f>+'Monthly Historical Flow-Gen'!E75</f>
        <v>742</v>
      </c>
      <c r="G128" s="46">
        <f>+'Monthly Historical Flow-Gen'!F75</f>
        <v>616</v>
      </c>
      <c r="H128" s="46">
        <f>+'Monthly Historical Flow-Gen'!G75</f>
        <v>486</v>
      </c>
      <c r="I128" s="46">
        <f>+'Monthly Historical Flow-Gen'!H75</f>
        <v>104</v>
      </c>
      <c r="J128" s="46">
        <f>+'Monthly Historical Flow-Gen'!I75</f>
        <v>311</v>
      </c>
      <c r="K128" s="46">
        <f>+'Monthly Historical Flow-Gen'!J75</f>
        <v>673</v>
      </c>
      <c r="L128" s="46">
        <f>+'Monthly Historical Flow-Gen'!K75</f>
        <v>723</v>
      </c>
      <c r="M128" s="46">
        <f>+'Monthly Historical Flow-Gen'!L75</f>
        <v>724</v>
      </c>
      <c r="N128" s="45">
        <f>+'Monthly Historical Flow-Gen'!M75</f>
        <v>797</v>
      </c>
      <c r="O128" s="85"/>
      <c r="P128" s="189"/>
    </row>
    <row r="129" spans="1:29" ht="15" customHeight="1" x14ac:dyDescent="0.25">
      <c r="B129" s="22" t="s">
        <v>67</v>
      </c>
      <c r="C129" s="47">
        <f>IF($P127="Pre",IF('cfs limit calculation'!B$17&gt;'Calculations - Outliers Removed'!C128,'Calculations - Outliers Removed'!C128,'cfs limit calculation'!B$17),IF('cfs limit calculation'!B$19&gt;'Calculations - Outliers Removed'!C128,'Calculations - Outliers Removed'!C128,'cfs limit calculation'!B$19))</f>
        <v>397</v>
      </c>
      <c r="D129" s="46">
        <f>IF($P127="Pre",IF('cfs limit calculation'!C$17&gt;'Calculations - Outliers Removed'!D128,'Calculations - Outliers Removed'!D128,'cfs limit calculation'!C$17),IF('cfs limit calculation'!C$19&gt;'Calculations - Outliers Removed'!D128,'Calculations - Outliers Removed'!D128,'cfs limit calculation'!C$19))</f>
        <v>492</v>
      </c>
      <c r="E129" s="46">
        <f>IF($P127="Pre",IF('cfs limit calculation'!D$17&gt;'Calculations - Outliers Removed'!E128,'Calculations - Outliers Removed'!E128,'cfs limit calculation'!D$17),IF('cfs limit calculation'!D$19&gt;'Calculations - Outliers Removed'!E128,'Calculations - Outliers Removed'!E128,'cfs limit calculation'!D$19))</f>
        <v>572.88</v>
      </c>
      <c r="F129" s="46">
        <f>IF($P127="Pre",IF('cfs limit calculation'!E$17&gt;'Calculations - Outliers Removed'!F128,'Calculations - Outliers Removed'!F128,'cfs limit calculation'!E$17),IF('cfs limit calculation'!E$19&gt;'Calculations - Outliers Removed'!F128,'Calculations - Outliers Removed'!F128,'cfs limit calculation'!E$19))</f>
        <v>554.4</v>
      </c>
      <c r="G129" s="46">
        <f>IF($P127="Pre",IF('cfs limit calculation'!F$17&gt;'Calculations - Outliers Removed'!G128,'Calculations - Outliers Removed'!G128,'cfs limit calculation'!F$17),IF('cfs limit calculation'!F$19&gt;'Calculations - Outliers Removed'!G128,'Calculations - Outliers Removed'!G128,'cfs limit calculation'!F$19))</f>
        <v>572.88</v>
      </c>
      <c r="H129" s="46">
        <f>IF($P127="Pre",IF('cfs limit calculation'!G$17&gt;'Calculations - Outliers Removed'!H128,'Calculations - Outliers Removed'!H128,'cfs limit calculation'!G$17),IF('cfs limit calculation'!G$19&gt;'Calculations - Outliers Removed'!H128,'Calculations - Outliers Removed'!H128,'cfs limit calculation'!G$19))</f>
        <v>486</v>
      </c>
      <c r="I129" s="46">
        <f>IF($P127="Pre",IF('cfs limit calculation'!H$17&gt;'Calculations - Outliers Removed'!I128,'Calculations - Outliers Removed'!I128,'cfs limit calculation'!H$17),IF('cfs limit calculation'!H$19&gt;'Calculations - Outliers Removed'!I128,'Calculations - Outliers Removed'!I128,'cfs limit calculation'!H$19))</f>
        <v>104</v>
      </c>
      <c r="J129" s="46">
        <f>IF($P127="Pre",IF('cfs limit calculation'!I$17&gt;'Calculations - Outliers Removed'!J128,'Calculations - Outliers Removed'!J128,'cfs limit calculation'!I$17),IF('cfs limit calculation'!I$19&gt;'Calculations - Outliers Removed'!J128,'Calculations - Outliers Removed'!J128,'cfs limit calculation'!I$19))</f>
        <v>311</v>
      </c>
      <c r="K129" s="46">
        <f>IF($P127="Pre",IF('cfs limit calculation'!J$17&gt;'Calculations - Outliers Removed'!K128,'Calculations - Outliers Removed'!K128,'cfs limit calculation'!J$17),IF('cfs limit calculation'!J$19&gt;'Calculations - Outliers Removed'!K128,'Calculations - Outliers Removed'!K128,'cfs limit calculation'!J$19))</f>
        <v>554.4</v>
      </c>
      <c r="L129" s="46">
        <f>IF($P127="Pre",IF('cfs limit calculation'!K$17&gt;'Calculations - Outliers Removed'!L128,'Calculations - Outliers Removed'!L128,'cfs limit calculation'!K$17),IF('cfs limit calculation'!K$19&gt;'Calculations - Outliers Removed'!L128,'Calculations - Outliers Removed'!L128,'cfs limit calculation'!K$19))</f>
        <v>572.88</v>
      </c>
      <c r="M129" s="46">
        <f>IF($P127="Pre",IF('cfs limit calculation'!L$17&gt;'Calculations - Outliers Removed'!M128,'Calculations - Outliers Removed'!M128,'cfs limit calculation'!L$17),IF('cfs limit calculation'!L$19&gt;'Calculations - Outliers Removed'!M128,'Calculations - Outliers Removed'!M128,'cfs limit calculation'!L$19))</f>
        <v>554.4</v>
      </c>
      <c r="N129" s="45">
        <f>IF($P127="Pre",IF('cfs limit calculation'!M$17&gt;'Calculations - Outliers Removed'!N128,'Calculations - Outliers Removed'!N128,'cfs limit calculation'!M$17),IF('cfs limit calculation'!M$19&gt;'Calculations - Outliers Removed'!N128,'Calculations - Outliers Removed'!N128,'cfs limit calculation'!M$19))</f>
        <v>572.88</v>
      </c>
      <c r="O129" s="85"/>
      <c r="P129" s="189"/>
    </row>
    <row r="130" spans="1:29" ht="15" customHeight="1" thickBot="1" x14ac:dyDescent="0.3">
      <c r="A130" s="85"/>
      <c r="B130" s="50" t="s">
        <v>42</v>
      </c>
      <c r="C130" s="265">
        <f t="shared" ref="C130:N130" si="48">+C129/C127</f>
        <v>0.83376750309977032</v>
      </c>
      <c r="D130" s="266">
        <f t="shared" si="48"/>
        <v>0.65555686877043695</v>
      </c>
      <c r="E130" s="266">
        <f t="shared" si="48"/>
        <v>0.61789830508474575</v>
      </c>
      <c r="F130" s="266">
        <f t="shared" si="48"/>
        <v>0.59796610169491515</v>
      </c>
      <c r="G130" s="266">
        <f t="shared" si="48"/>
        <v>0.76850125569318528</v>
      </c>
      <c r="H130" s="266">
        <f t="shared" si="48"/>
        <v>0.80337601029969252</v>
      </c>
      <c r="I130" s="266">
        <f t="shared" si="48"/>
        <v>0.4391258893862347</v>
      </c>
      <c r="J130" s="266">
        <f t="shared" si="48"/>
        <v>0.34577166284483357</v>
      </c>
      <c r="K130" s="266">
        <f t="shared" si="48"/>
        <v>0.59796610169491515</v>
      </c>
      <c r="L130" s="266">
        <f t="shared" si="48"/>
        <v>0.61789830508474575</v>
      </c>
      <c r="M130" s="266">
        <f t="shared" si="48"/>
        <v>0.59796610169491515</v>
      </c>
      <c r="N130" s="267">
        <f t="shared" si="48"/>
        <v>0.61789830508474575</v>
      </c>
      <c r="O130" s="78"/>
      <c r="P130" s="191"/>
    </row>
    <row r="131" spans="1:29" ht="15" customHeight="1" x14ac:dyDescent="0.25">
      <c r="A131" s="86">
        <v>2012</v>
      </c>
      <c r="B131" s="58" t="s">
        <v>45</v>
      </c>
      <c r="C131" s="47">
        <f>+'Monthly Historical Flow-Gen'!B50</f>
        <v>945.5625</v>
      </c>
      <c r="D131" s="94">
        <f>+'Monthly Historical Flow-Gen'!C50</f>
        <v>494.95673076923077</v>
      </c>
      <c r="E131" s="94">
        <f>+'Monthly Historical Flow-Gen'!D50</f>
        <v>540.19471153846155</v>
      </c>
      <c r="F131" s="94">
        <f>+'Monthly Historical Flow-Gen'!E50</f>
        <v>505.60096153846149</v>
      </c>
      <c r="G131" s="94">
        <f>+'Monthly Historical Flow-Gen'!F50</f>
        <v>573.90144230769226</v>
      </c>
      <c r="H131" s="94">
        <f>+'Monthly Historical Flow-Gen'!G50</f>
        <v>432.86538461538458</v>
      </c>
      <c r="I131" s="94">
        <f>+'Monthly Historical Flow-Gen'!H50</f>
        <v>170.30769230769229</v>
      </c>
      <c r="J131" s="94">
        <f>+'Monthly Historical Flow-Gen'!I50</f>
        <v>241.26923076923075</v>
      </c>
      <c r="K131" s="94">
        <f>+'Monthly Historical Flow-Gen'!J50</f>
        <v>204.01442307692307</v>
      </c>
      <c r="L131" s="32">
        <f>+'Monthly Historical Flow-Gen'!K50</f>
        <v>411.57692307692304</v>
      </c>
      <c r="M131" s="32">
        <f>+'Monthly Historical Flow-Gen'!L50</f>
        <v>469.23317307692304</v>
      </c>
      <c r="N131" s="82">
        <f>+'Monthly Historical Flow-Gen'!M50</f>
        <v>623.57451923076917</v>
      </c>
      <c r="O131" s="85">
        <f>+A131</f>
        <v>2012</v>
      </c>
      <c r="P131" s="189"/>
    </row>
    <row r="132" spans="1:29" ht="15" customHeight="1" x14ac:dyDescent="0.25">
      <c r="A132" s="85"/>
      <c r="B132" s="48" t="s">
        <v>43</v>
      </c>
      <c r="C132" s="47">
        <f>IF(C131&gt;$O132,$O132,C131)</f>
        <v>927.14285714285722</v>
      </c>
      <c r="D132" s="46">
        <f t="shared" ref="D132:N132" si="49">IF(D131&gt;$O132,$O132,D131)</f>
        <v>494.95673076923077</v>
      </c>
      <c r="E132" s="46">
        <f t="shared" si="49"/>
        <v>540.19471153846155</v>
      </c>
      <c r="F132" s="46">
        <f t="shared" si="49"/>
        <v>505.60096153846149</v>
      </c>
      <c r="G132" s="46">
        <f t="shared" si="49"/>
        <v>573.90144230769226</v>
      </c>
      <c r="H132" s="46">
        <f t="shared" si="49"/>
        <v>432.86538461538458</v>
      </c>
      <c r="I132" s="46">
        <f t="shared" si="49"/>
        <v>170.30769230769229</v>
      </c>
      <c r="J132" s="46">
        <f t="shared" si="49"/>
        <v>241.26923076923075</v>
      </c>
      <c r="K132" s="46">
        <f t="shared" si="49"/>
        <v>204.01442307692307</v>
      </c>
      <c r="L132" s="46">
        <f t="shared" si="49"/>
        <v>411.57692307692304</v>
      </c>
      <c r="M132" s="46">
        <f t="shared" si="49"/>
        <v>469.23317307692304</v>
      </c>
      <c r="N132" s="45">
        <f t="shared" si="49"/>
        <v>623.57451923076917</v>
      </c>
      <c r="O132" s="185">
        <f>IF(P132="Pre",'cfs limit calculation'!$E$6,'cfs limit calculation'!$E$11)</f>
        <v>927.14285714285722</v>
      </c>
      <c r="P132" s="190" t="str">
        <f>+Calculations!P132</f>
        <v>Post</v>
      </c>
    </row>
    <row r="133" spans="1:29" ht="15" customHeight="1" x14ac:dyDescent="0.25">
      <c r="A133" s="85"/>
      <c r="B133" s="8" t="s">
        <v>44</v>
      </c>
      <c r="C133" s="47">
        <f>+'Monthly Historical Flow-Gen'!B76</f>
        <v>696</v>
      </c>
      <c r="D133" s="46">
        <f>+'Monthly Historical Flow-Gen'!C76</f>
        <v>514</v>
      </c>
      <c r="E133" s="46">
        <f>+'Monthly Historical Flow-Gen'!D76</f>
        <v>466</v>
      </c>
      <c r="F133" s="46">
        <f>+'Monthly Historical Flow-Gen'!E76</f>
        <v>258</v>
      </c>
      <c r="G133" s="46">
        <f>+'Monthly Historical Flow-Gen'!F76</f>
        <v>467</v>
      </c>
      <c r="H133" s="46">
        <f>+'Monthly Historical Flow-Gen'!G76</f>
        <v>302</v>
      </c>
      <c r="I133" s="46">
        <f>+'Monthly Historical Flow-Gen'!H76</f>
        <v>0</v>
      </c>
      <c r="J133" s="46">
        <f>+'Monthly Historical Flow-Gen'!I76</f>
        <v>56</v>
      </c>
      <c r="K133" s="46">
        <f>+'Monthly Historical Flow-Gen'!J76</f>
        <v>48</v>
      </c>
      <c r="L133" s="46">
        <f>+'Monthly Historical Flow-Gen'!K76</f>
        <v>190</v>
      </c>
      <c r="M133" s="46">
        <f>+'Monthly Historical Flow-Gen'!L76</f>
        <v>360</v>
      </c>
      <c r="N133" s="45">
        <f>+'Monthly Historical Flow-Gen'!M76</f>
        <v>435</v>
      </c>
      <c r="O133" s="85"/>
      <c r="P133" s="189"/>
    </row>
    <row r="134" spans="1:29" ht="15" customHeight="1" x14ac:dyDescent="0.25">
      <c r="B134" s="22" t="s">
        <v>67</v>
      </c>
      <c r="C134" s="47">
        <f>IF($P132="Pre",IF('cfs limit calculation'!B$17&gt;'Calculations - Outliers Removed'!C133,'Calculations - Outliers Removed'!C133,'cfs limit calculation'!B$17),IF('cfs limit calculation'!B$19&gt;'Calculations - Outliers Removed'!C133,'Calculations - Outliers Removed'!C133,'cfs limit calculation'!B$19))</f>
        <v>572.88</v>
      </c>
      <c r="D134" s="46">
        <f>IF($P132="Pre",IF('cfs limit calculation'!C$17&gt;'Calculations - Outliers Removed'!D133,'Calculations - Outliers Removed'!D133,'cfs limit calculation'!C$17),IF('cfs limit calculation'!C$19&gt;'Calculations - Outliers Removed'!D133,'Calculations - Outliers Removed'!D133,'cfs limit calculation'!C$19))</f>
        <v>514</v>
      </c>
      <c r="E134" s="46">
        <f>IF($P132="Pre",IF('cfs limit calculation'!D$17&gt;'Calculations - Outliers Removed'!E133,'Calculations - Outliers Removed'!E133,'cfs limit calculation'!D$17),IF('cfs limit calculation'!D$19&gt;'Calculations - Outliers Removed'!E133,'Calculations - Outliers Removed'!E133,'cfs limit calculation'!D$19))</f>
        <v>466</v>
      </c>
      <c r="F134" s="46">
        <f>IF($P132="Pre",IF('cfs limit calculation'!E$17&gt;'Calculations - Outliers Removed'!F133,'Calculations - Outliers Removed'!F133,'cfs limit calculation'!E$17),IF('cfs limit calculation'!E$19&gt;'Calculations - Outliers Removed'!F133,'Calculations - Outliers Removed'!F133,'cfs limit calculation'!E$19))</f>
        <v>258</v>
      </c>
      <c r="G134" s="46">
        <f>IF($P132="Pre",IF('cfs limit calculation'!F$17&gt;'Calculations - Outliers Removed'!G133,'Calculations - Outliers Removed'!G133,'cfs limit calculation'!F$17),IF('cfs limit calculation'!F$19&gt;'Calculations - Outliers Removed'!G133,'Calculations - Outliers Removed'!G133,'cfs limit calculation'!F$19))</f>
        <v>467</v>
      </c>
      <c r="H134" s="46">
        <f>IF($P132="Pre",IF('cfs limit calculation'!G$17&gt;'Calculations - Outliers Removed'!H133,'Calculations - Outliers Removed'!H133,'cfs limit calculation'!G$17),IF('cfs limit calculation'!G$19&gt;'Calculations - Outliers Removed'!H133,'Calculations - Outliers Removed'!H133,'cfs limit calculation'!G$19))</f>
        <v>302</v>
      </c>
      <c r="I134" s="46">
        <f>IF($P132="Pre",IF('cfs limit calculation'!H$17&gt;'Calculations - Outliers Removed'!I133,'Calculations - Outliers Removed'!I133,'cfs limit calculation'!H$17),IF('cfs limit calculation'!H$19&gt;'Calculations - Outliers Removed'!I133,'Calculations - Outliers Removed'!I133,'cfs limit calculation'!H$19))</f>
        <v>0</v>
      </c>
      <c r="J134" s="46">
        <f>IF($P132="Pre",IF('cfs limit calculation'!I$17&gt;'Calculations - Outliers Removed'!J133,'Calculations - Outliers Removed'!J133,'cfs limit calculation'!I$17),IF('cfs limit calculation'!I$19&gt;'Calculations - Outliers Removed'!J133,'Calculations - Outliers Removed'!J133,'cfs limit calculation'!I$19))</f>
        <v>56</v>
      </c>
      <c r="K134" s="46">
        <f>IF($P132="Pre",IF('cfs limit calculation'!J$17&gt;'Calculations - Outliers Removed'!K133,'Calculations - Outliers Removed'!K133,'cfs limit calculation'!J$17),IF('cfs limit calculation'!J$19&gt;'Calculations - Outliers Removed'!K133,'Calculations - Outliers Removed'!K133,'cfs limit calculation'!J$19))</f>
        <v>48</v>
      </c>
      <c r="L134" s="46">
        <f>IF($P132="Pre",IF('cfs limit calculation'!K$17&gt;'Calculations - Outliers Removed'!L133,'Calculations - Outliers Removed'!L133,'cfs limit calculation'!K$17),IF('cfs limit calculation'!K$19&gt;'Calculations - Outliers Removed'!L133,'Calculations - Outliers Removed'!L133,'cfs limit calculation'!K$19))</f>
        <v>190</v>
      </c>
      <c r="M134" s="46">
        <f>IF($P132="Pre",IF('cfs limit calculation'!L$17&gt;'Calculations - Outliers Removed'!M133,'Calculations - Outliers Removed'!M133,'cfs limit calculation'!L$17),IF('cfs limit calculation'!L$19&gt;'Calculations - Outliers Removed'!M133,'Calculations - Outliers Removed'!M133,'cfs limit calculation'!L$19))</f>
        <v>360</v>
      </c>
      <c r="N134" s="45">
        <f>IF($P132="Pre",IF('cfs limit calculation'!M$17&gt;'Calculations - Outliers Removed'!N133,'Calculations - Outliers Removed'!N133,'cfs limit calculation'!M$17),IF('cfs limit calculation'!M$19&gt;'Calculations - Outliers Removed'!N133,'Calculations - Outliers Removed'!N133,'cfs limit calculation'!M$19))</f>
        <v>435</v>
      </c>
      <c r="O134" s="85"/>
      <c r="P134" s="189"/>
    </row>
    <row r="135" spans="1:29" ht="15" customHeight="1" thickBot="1" x14ac:dyDescent="0.3">
      <c r="A135" s="44"/>
      <c r="B135" s="50" t="s">
        <v>42</v>
      </c>
      <c r="C135" s="265">
        <f t="shared" ref="C135:N135" si="50">+C134/C132</f>
        <v>0.61789830508474575</v>
      </c>
      <c r="D135" s="266">
        <f t="shared" si="50"/>
        <v>1.0384746141368224</v>
      </c>
      <c r="E135" s="266">
        <f t="shared" si="50"/>
        <v>0.86265191059135549</v>
      </c>
      <c r="F135" s="266">
        <f t="shared" si="50"/>
        <v>0.51028383968050217</v>
      </c>
      <c r="G135" s="266">
        <f t="shared" si="50"/>
        <v>0.81372857005231569</v>
      </c>
      <c r="H135" s="266">
        <f t="shared" si="50"/>
        <v>0.69767648496157098</v>
      </c>
      <c r="I135" s="289">
        <f t="shared" si="50"/>
        <v>0</v>
      </c>
      <c r="J135" s="266">
        <f t="shared" si="50"/>
        <v>0.23210585047026944</v>
      </c>
      <c r="K135" s="266">
        <f t="shared" si="50"/>
        <v>0.23527748320961472</v>
      </c>
      <c r="L135" s="266">
        <f t="shared" si="50"/>
        <v>0.46163909914961221</v>
      </c>
      <c r="M135" s="266">
        <f t="shared" si="50"/>
        <v>0.7672091843791784</v>
      </c>
      <c r="N135" s="267">
        <f t="shared" si="50"/>
        <v>0.69759104418924711</v>
      </c>
      <c r="O135" s="78"/>
      <c r="P135" s="191"/>
    </row>
    <row r="136" spans="1:29" ht="13.8" thickBot="1" x14ac:dyDescent="0.3"/>
    <row r="137" spans="1:29" ht="15" customHeight="1" thickBot="1" x14ac:dyDescent="0.3">
      <c r="A137" s="43" t="s">
        <v>63</v>
      </c>
      <c r="B137" s="43"/>
      <c r="C137" s="274">
        <f>AVERAGE(C30,C35,C40,C45,C50,C55,C60,C65,C70,C75,C80,C85,C90,C95,C100,C105,C110,C115,C120)</f>
        <v>0.63885087592734213</v>
      </c>
      <c r="D137" s="275">
        <f t="shared" ref="D137:L137" si="51">AVERAGE(D30,D35,D40,D45,D50,D55,D60,D65,D70,D75,D80,D85,D90,D95,D100,D105,D110,D115,D120)</f>
        <v>0.61923212676553419</v>
      </c>
      <c r="E137" s="275">
        <f t="shared" si="51"/>
        <v>0.62473987092677952</v>
      </c>
      <c r="F137" s="275">
        <f t="shared" si="51"/>
        <v>0.6139620408152543</v>
      </c>
      <c r="G137" s="275">
        <f t="shared" si="51"/>
        <v>0.69702072164189643</v>
      </c>
      <c r="H137" s="275">
        <f t="shared" si="51"/>
        <v>0.59913078219223781</v>
      </c>
      <c r="I137" s="275">
        <f t="shared" si="51"/>
        <v>0.45186163996080747</v>
      </c>
      <c r="J137" s="275">
        <f>AVERAGE(J30,J35,J40,J45,J50,J60,J70,J75,J80,J85,J90,J95,J100,J105,J110,J115,J120)</f>
        <v>0.13060798928658088</v>
      </c>
      <c r="K137" s="275">
        <f>AVERAGE(K30,K35,K40,K45,K50,K60,K70,K75,K80,K85,K90,K95,K100,K105,K110,K115,K120)</f>
        <v>6.1347644847579229E-2</v>
      </c>
      <c r="L137" s="275">
        <f t="shared" si="51"/>
        <v>0.18539013144223024</v>
      </c>
      <c r="M137" s="275">
        <f>AVERAGE(M30,M35,M40,M45,M50,M55,M65,M70,M75,M80,M85,M90,M95,M100,M105,M110,M115,M120)</f>
        <v>0.51507706690200428</v>
      </c>
      <c r="N137" s="276">
        <f>AVERAGE(N30,N35,N40,N45,N50,N55,N65,N70,N75,N80,N85,N90,N95,N100,N105,N110,N115)</f>
        <v>0.47069806346026188</v>
      </c>
      <c r="O137" s="15"/>
      <c r="P137" s="64"/>
      <c r="Q137" s="5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 spans="1:29" ht="15" customHeight="1" x14ac:dyDescent="0.25">
      <c r="A138" s="33"/>
      <c r="B138" s="303" t="s">
        <v>75</v>
      </c>
      <c r="C138" s="198"/>
      <c r="D138" s="199"/>
      <c r="E138" s="199"/>
      <c r="F138" s="199"/>
      <c r="G138" s="199"/>
      <c r="H138" s="199"/>
      <c r="I138" s="199"/>
      <c r="J138" s="199" t="s">
        <v>131</v>
      </c>
      <c r="K138" s="199" t="s">
        <v>131</v>
      </c>
      <c r="L138" s="199"/>
      <c r="M138" s="199" t="s">
        <v>132</v>
      </c>
      <c r="N138" s="200" t="s">
        <v>132</v>
      </c>
      <c r="O138" s="15"/>
      <c r="P138" s="64"/>
      <c r="Q138" s="5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 spans="1:29" ht="15" customHeight="1" thickBot="1" x14ac:dyDescent="0.3">
      <c r="A139" s="33"/>
      <c r="B139" s="304"/>
      <c r="C139" s="201"/>
      <c r="D139" s="202"/>
      <c r="E139" s="202"/>
      <c r="F139" s="202"/>
      <c r="G139" s="202"/>
      <c r="H139" s="202"/>
      <c r="I139" s="202"/>
      <c r="J139" s="202"/>
      <c r="K139" s="202"/>
      <c r="L139" s="203"/>
      <c r="M139" s="203"/>
      <c r="N139" s="205" t="s">
        <v>76</v>
      </c>
      <c r="O139" s="15"/>
      <c r="P139" s="64"/>
      <c r="Q139" s="5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 spans="1:29" ht="15" customHeight="1" thickBot="1" x14ac:dyDescent="0.3">
      <c r="A140" s="33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5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 spans="1:29" ht="15" customHeight="1" thickBot="1" x14ac:dyDescent="0.3">
      <c r="A141" s="40" t="s">
        <v>64</v>
      </c>
      <c r="B141" s="159"/>
      <c r="C141" s="274">
        <f>AVERAGE(C125,C130,C135)</f>
        <v>0.68985470442308727</v>
      </c>
      <c r="D141" s="275">
        <f t="shared" ref="D141:L141" si="52">AVERAGE(D125,D130,D135)</f>
        <v>0.75237207622332358</v>
      </c>
      <c r="E141" s="275">
        <f t="shared" si="52"/>
        <v>0.69948284025361573</v>
      </c>
      <c r="F141" s="275">
        <f t="shared" si="52"/>
        <v>0.56873868102344416</v>
      </c>
      <c r="G141" s="275">
        <f t="shared" si="52"/>
        <v>0.79869903201718684</v>
      </c>
      <c r="H141" s="275">
        <f t="shared" si="52"/>
        <v>0.7238204327229022</v>
      </c>
      <c r="I141" s="292">
        <f>AVERAGE(I130)</f>
        <v>0.4391258893862347</v>
      </c>
      <c r="J141" s="275">
        <f t="shared" si="52"/>
        <v>0.1978270893228555</v>
      </c>
      <c r="K141" s="275">
        <f t="shared" si="52"/>
        <v>0.27774786163484327</v>
      </c>
      <c r="L141" s="275">
        <f t="shared" si="52"/>
        <v>0.56773343311697633</v>
      </c>
      <c r="M141" s="275">
        <f>AVERAGE(M125,M130,M135)</f>
        <v>0.73036013605681871</v>
      </c>
      <c r="N141" s="293">
        <f>AVERAGE(N120,N125,N130,N135)</f>
        <v>0.66036595590252956</v>
      </c>
      <c r="P141" s="33"/>
    </row>
    <row r="142" spans="1:29" ht="15" customHeight="1" x14ac:dyDescent="0.25">
      <c r="A142" s="33"/>
      <c r="B142" s="303" t="s">
        <v>75</v>
      </c>
      <c r="C142" s="198"/>
      <c r="D142" s="199"/>
      <c r="E142" s="199"/>
      <c r="F142" s="199"/>
      <c r="G142" s="199"/>
      <c r="H142" s="199"/>
      <c r="I142" s="298">
        <v>125135</v>
      </c>
      <c r="J142" s="199"/>
      <c r="K142" s="199"/>
      <c r="L142" s="199"/>
      <c r="M142" s="199"/>
      <c r="N142" s="200" t="s">
        <v>77</v>
      </c>
      <c r="P142" s="33"/>
    </row>
    <row r="143" spans="1:29" ht="15" customHeight="1" thickBot="1" x14ac:dyDescent="0.3">
      <c r="A143" s="33"/>
      <c r="B143" s="304"/>
      <c r="C143" s="201"/>
      <c r="D143" s="202"/>
      <c r="E143" s="202"/>
      <c r="F143" s="202"/>
      <c r="G143" s="202"/>
      <c r="H143" s="202"/>
      <c r="I143" s="202"/>
      <c r="J143" s="202"/>
      <c r="K143" s="202"/>
      <c r="L143" s="203"/>
      <c r="M143" s="203"/>
      <c r="N143" s="204"/>
      <c r="P143" s="8"/>
    </row>
    <row r="144" spans="1:29" ht="15" customHeight="1" thickBot="1" x14ac:dyDescent="0.3"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P144" s="25"/>
      <c r="Q144" s="49"/>
    </row>
    <row r="145" spans="1:17" ht="15" customHeight="1" thickBot="1" x14ac:dyDescent="0.3">
      <c r="B145" s="40" t="s">
        <v>41</v>
      </c>
      <c r="C145" s="39" t="str">
        <f>+C25</f>
        <v>January</v>
      </c>
      <c r="D145" s="39" t="str">
        <f t="shared" ref="D145:N145" si="53">+D25</f>
        <v>February</v>
      </c>
      <c r="E145" s="39" t="str">
        <f t="shared" si="53"/>
        <v>March</v>
      </c>
      <c r="F145" s="39" t="str">
        <f t="shared" si="53"/>
        <v>April</v>
      </c>
      <c r="G145" s="39" t="str">
        <f t="shared" si="53"/>
        <v>May</v>
      </c>
      <c r="H145" s="39" t="str">
        <f t="shared" si="53"/>
        <v>June</v>
      </c>
      <c r="I145" s="39" t="str">
        <f t="shared" si="53"/>
        <v>July</v>
      </c>
      <c r="J145" s="39" t="str">
        <f t="shared" si="53"/>
        <v>August</v>
      </c>
      <c r="K145" s="39" t="str">
        <f t="shared" si="53"/>
        <v>September</v>
      </c>
      <c r="L145" s="39" t="str">
        <f t="shared" si="53"/>
        <v>October</v>
      </c>
      <c r="M145" s="39" t="str">
        <f t="shared" si="53"/>
        <v>November</v>
      </c>
      <c r="N145" s="39" t="str">
        <f t="shared" si="53"/>
        <v>December</v>
      </c>
      <c r="O145" s="37" t="s">
        <v>26</v>
      </c>
      <c r="P145" s="22"/>
      <c r="Q145" s="49"/>
    </row>
    <row r="146" spans="1:17" ht="15" customHeight="1" x14ac:dyDescent="0.25">
      <c r="B146" s="179" t="s">
        <v>65</v>
      </c>
      <c r="C146" s="104">
        <f>+'Average Historical Flow'!B6</f>
        <v>965.37931599650335</v>
      </c>
      <c r="D146" s="105">
        <f>+'Average Historical Flow'!C6</f>
        <v>950.21935096153834</v>
      </c>
      <c r="E146" s="105">
        <f>+'Average Historical Flow'!D6</f>
        <v>1389.164849213287</v>
      </c>
      <c r="F146" s="105">
        <f>+'Average Historical Flow'!E6</f>
        <v>1297.8220279720279</v>
      </c>
      <c r="G146" s="105">
        <f>+'Average Historical Flow'!F6</f>
        <v>781.56070804195804</v>
      </c>
      <c r="H146" s="105">
        <f>+'Average Historical Flow'!G6</f>
        <v>608.38633085664333</v>
      </c>
      <c r="I146" s="105">
        <f>+'Average Historical Flow'!H6</f>
        <v>307.37232298951045</v>
      </c>
      <c r="J146" s="105">
        <f>+'Average Historical Flow'!I6</f>
        <v>268.61361451048958</v>
      </c>
      <c r="K146" s="105">
        <f>+'Average Historical Flow'!J6</f>
        <v>293.34532342657343</v>
      </c>
      <c r="L146" s="105">
        <f>+'Average Historical Flow'!K6</f>
        <v>527.82885708041965</v>
      </c>
      <c r="M146" s="105">
        <f>+'Average Historical Flow'!L6</f>
        <v>646.82248688811171</v>
      </c>
      <c r="N146" s="106">
        <f>+'Average Historical Flow'!M6</f>
        <v>963.84315996503494</v>
      </c>
      <c r="O146" s="107">
        <f>AVERAGE(C146:N146)</f>
        <v>750.0298623251748</v>
      </c>
      <c r="P146" s="35"/>
      <c r="Q146" s="49"/>
    </row>
    <row r="147" spans="1:17" ht="15" customHeight="1" thickBot="1" x14ac:dyDescent="0.3">
      <c r="B147" s="174" t="s">
        <v>35</v>
      </c>
      <c r="C147" s="175">
        <f>IF(C146&gt;'cfs limit calculation'!$E$6,'cfs limit calculation'!$E$6,'Calculations - Outliers Removed'!C146)</f>
        <v>927.14285714285722</v>
      </c>
      <c r="D147" s="176">
        <f>IF(D146&gt;'cfs limit calculation'!$E$6,'cfs limit calculation'!$E$6,'Calculations - Outliers Removed'!D146)</f>
        <v>927.14285714285722</v>
      </c>
      <c r="E147" s="176">
        <f>IF(E146&gt;'cfs limit calculation'!$E$6,'cfs limit calculation'!$E$6,'Calculations - Outliers Removed'!E146)</f>
        <v>927.14285714285722</v>
      </c>
      <c r="F147" s="176">
        <f>IF(F146&gt;'cfs limit calculation'!$E$6,'cfs limit calculation'!$E$6,'Calculations - Outliers Removed'!F146)</f>
        <v>927.14285714285722</v>
      </c>
      <c r="G147" s="176">
        <f>IF(G146&gt;'cfs limit calculation'!$E$6,'cfs limit calculation'!$E$6,'Calculations - Outliers Removed'!G146)</f>
        <v>781.56070804195804</v>
      </c>
      <c r="H147" s="176">
        <f>IF(H146&gt;'cfs limit calculation'!$E$6,'cfs limit calculation'!$E$6,'Calculations - Outliers Removed'!H146)</f>
        <v>608.38633085664333</v>
      </c>
      <c r="I147" s="176">
        <f>IF(I146&gt;'cfs limit calculation'!$E$6,'cfs limit calculation'!$E$6,'Calculations - Outliers Removed'!I146)</f>
        <v>307.37232298951045</v>
      </c>
      <c r="J147" s="176">
        <f>IF(J146&gt;'cfs limit calculation'!$E$6,'cfs limit calculation'!$E$6,'Calculations - Outliers Removed'!J146)</f>
        <v>268.61361451048958</v>
      </c>
      <c r="K147" s="176">
        <f>IF(K146&gt;'cfs limit calculation'!$E$6,'cfs limit calculation'!$E$6,'Calculations - Outliers Removed'!K146)</f>
        <v>293.34532342657343</v>
      </c>
      <c r="L147" s="176">
        <f>IF(L146&gt;'cfs limit calculation'!$E$6,'cfs limit calculation'!$E$6,'Calculations - Outliers Removed'!L146)</f>
        <v>527.82885708041965</v>
      </c>
      <c r="M147" s="176">
        <f>IF(M146&gt;'cfs limit calculation'!$E$6,'cfs limit calculation'!$E$6,'Calculations - Outliers Removed'!M146)</f>
        <v>646.82248688811171</v>
      </c>
      <c r="N147" s="177">
        <f>IF(N146&gt;'cfs limit calculation'!$E$6,'cfs limit calculation'!$E$6,'Calculations - Outliers Removed'!N146)</f>
        <v>927.14285714285722</v>
      </c>
      <c r="O147" s="178">
        <f>AVERAGE(C147:N147)</f>
        <v>672.47032745899935</v>
      </c>
      <c r="P147" s="34"/>
      <c r="Q147" s="49"/>
    </row>
    <row r="148" spans="1:17" ht="15" customHeight="1" x14ac:dyDescent="0.25">
      <c r="B148" s="179" t="s">
        <v>40</v>
      </c>
      <c r="C148" s="277">
        <f>+C22</f>
        <v>0.61789830508474575</v>
      </c>
      <c r="D148" s="278">
        <f t="shared" ref="D148:N148" si="54">+D22</f>
        <v>0.60977615129614604</v>
      </c>
      <c r="E148" s="278">
        <f t="shared" si="54"/>
        <v>0.61789830508474575</v>
      </c>
      <c r="F148" s="278">
        <f t="shared" si="54"/>
        <v>0.62232391463487036</v>
      </c>
      <c r="G148" s="278">
        <f t="shared" si="54"/>
        <v>0.70288027694936339</v>
      </c>
      <c r="H148" s="278">
        <f t="shared" si="54"/>
        <v>0.66943058528068244</v>
      </c>
      <c r="I148" s="278">
        <f t="shared" si="54"/>
        <v>0.49885719085575858</v>
      </c>
      <c r="J148" s="278">
        <f t="shared" si="54"/>
        <v>0.14928538975623856</v>
      </c>
      <c r="K148" s="278">
        <f t="shared" si="54"/>
        <v>3.0862725522053814E-3</v>
      </c>
      <c r="L148" s="278">
        <f t="shared" si="54"/>
        <v>0.12150843250457471</v>
      </c>
      <c r="M148" s="278">
        <f t="shared" si="54"/>
        <v>0.52339156168995393</v>
      </c>
      <c r="N148" s="279">
        <f t="shared" si="54"/>
        <v>0.46124022008611004</v>
      </c>
      <c r="O148" s="280">
        <f>AVERAGE(C148:N148)</f>
        <v>0.46646471714794963</v>
      </c>
      <c r="P148" s="240">
        <f>+(O157-O149)/O157</f>
        <v>0.18391097730010084</v>
      </c>
      <c r="Q148" s="238" t="s">
        <v>72</v>
      </c>
    </row>
    <row r="149" spans="1:17" ht="15" customHeight="1" thickBot="1" x14ac:dyDescent="0.3">
      <c r="B149" s="180" t="s">
        <v>39</v>
      </c>
      <c r="C149" s="181">
        <f t="shared" ref="C149:N149" si="55">+C148*C147</f>
        <v>572.88</v>
      </c>
      <c r="D149" s="182">
        <f t="shared" si="55"/>
        <v>565.34960313028398</v>
      </c>
      <c r="E149" s="182">
        <f t="shared" si="55"/>
        <v>572.88</v>
      </c>
      <c r="F149" s="182">
        <f t="shared" si="55"/>
        <v>576.98317228290125</v>
      </c>
      <c r="G149" s="182">
        <f t="shared" si="55"/>
        <v>549.343606921272</v>
      </c>
      <c r="H149" s="182">
        <f t="shared" si="55"/>
        <v>407.27241754212963</v>
      </c>
      <c r="I149" s="182">
        <f t="shared" si="55"/>
        <v>153.3348935933561</v>
      </c>
      <c r="J149" s="182">
        <f t="shared" si="55"/>
        <v>40.100088136030458</v>
      </c>
      <c r="K149" s="182">
        <f t="shared" si="55"/>
        <v>0.90534362000924384</v>
      </c>
      <c r="L149" s="182">
        <f t="shared" si="55"/>
        <v>64.13565705452298</v>
      </c>
      <c r="M149" s="182">
        <f t="shared" si="55"/>
        <v>338.54143154854853</v>
      </c>
      <c r="N149" s="183">
        <f t="shared" si="55"/>
        <v>427.63557547983635</v>
      </c>
      <c r="O149" s="237">
        <f>SUM(C149:N149)</f>
        <v>4269.3617893088904</v>
      </c>
      <c r="P149" s="241">
        <f>1-P148</f>
        <v>0.81608902269989914</v>
      </c>
      <c r="Q149" s="239" t="s">
        <v>73</v>
      </c>
    </row>
    <row r="150" spans="1:17" ht="15" customHeight="1" x14ac:dyDescent="0.25">
      <c r="B150" s="111" t="s">
        <v>38</v>
      </c>
      <c r="C150" s="281">
        <f t="shared" ref="C150:N150" si="56">+C137</f>
        <v>0.63885087592734213</v>
      </c>
      <c r="D150" s="282">
        <f t="shared" si="56"/>
        <v>0.61923212676553419</v>
      </c>
      <c r="E150" s="282">
        <f t="shared" si="56"/>
        <v>0.62473987092677952</v>
      </c>
      <c r="F150" s="282">
        <f t="shared" si="56"/>
        <v>0.6139620408152543</v>
      </c>
      <c r="G150" s="282">
        <f t="shared" si="56"/>
        <v>0.69702072164189643</v>
      </c>
      <c r="H150" s="282">
        <f t="shared" si="56"/>
        <v>0.59913078219223781</v>
      </c>
      <c r="I150" s="282">
        <f t="shared" si="56"/>
        <v>0.45186163996080747</v>
      </c>
      <c r="J150" s="282">
        <f t="shared" si="56"/>
        <v>0.13060798928658088</v>
      </c>
      <c r="K150" s="282">
        <f t="shared" si="56"/>
        <v>6.1347644847579229E-2</v>
      </c>
      <c r="L150" s="282">
        <f t="shared" si="56"/>
        <v>0.18539013144223024</v>
      </c>
      <c r="M150" s="282">
        <f t="shared" si="56"/>
        <v>0.51507706690200428</v>
      </c>
      <c r="N150" s="283">
        <f t="shared" si="56"/>
        <v>0.47069806346026188</v>
      </c>
      <c r="O150" s="284">
        <f>AVERAGE(C150:N150)</f>
        <v>0.46732657951404238</v>
      </c>
      <c r="P150" s="30"/>
      <c r="Q150" s="49"/>
    </row>
    <row r="151" spans="1:17" ht="15" customHeight="1" thickBot="1" x14ac:dyDescent="0.3">
      <c r="B151" s="112" t="s">
        <v>37</v>
      </c>
      <c r="C151" s="76">
        <f t="shared" ref="C151:N151" si="57">+C150*C147</f>
        <v>592.30602639549295</v>
      </c>
      <c r="D151" s="28">
        <f t="shared" si="57"/>
        <v>574.11664324404535</v>
      </c>
      <c r="E151" s="28">
        <f t="shared" si="57"/>
        <v>579.22310890211418</v>
      </c>
      <c r="F151" s="28">
        <f t="shared" si="57"/>
        <v>569.23052069871437</v>
      </c>
      <c r="G151" s="28">
        <f t="shared" si="57"/>
        <v>544.76400872635713</v>
      </c>
      <c r="H151" s="28">
        <f t="shared" si="57"/>
        <v>364.50297828120631</v>
      </c>
      <c r="I151" s="28">
        <f t="shared" si="57"/>
        <v>138.88976194460321</v>
      </c>
      <c r="J151" s="28">
        <f t="shared" si="57"/>
        <v>35.083084086215791</v>
      </c>
      <c r="K151" s="28">
        <f t="shared" si="57"/>
        <v>17.996044719271691</v>
      </c>
      <c r="L151" s="28">
        <f t="shared" si="57"/>
        <v>97.854261193141156</v>
      </c>
      <c r="M151" s="28">
        <f t="shared" si="57"/>
        <v>333.16342935258871</v>
      </c>
      <c r="N151" s="27">
        <f t="shared" si="57"/>
        <v>436.40434740815715</v>
      </c>
      <c r="O151" s="26">
        <f>SUM(C151:N151)</f>
        <v>4283.5342149519074</v>
      </c>
      <c r="P151" s="29"/>
      <c r="Q151" s="49"/>
    </row>
    <row r="152" spans="1:17" ht="15" customHeight="1" thickBot="1" x14ac:dyDescent="0.3">
      <c r="A152" s="128"/>
      <c r="B152" s="113"/>
      <c r="C152" s="65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3"/>
      <c r="P152" s="25"/>
      <c r="Q152" s="49"/>
    </row>
    <row r="153" spans="1:17" ht="15" customHeight="1" thickBot="1" x14ac:dyDescent="0.3">
      <c r="A153" s="70"/>
      <c r="B153" s="40" t="s">
        <v>36</v>
      </c>
      <c r="C153" s="39" t="str">
        <f t="shared" ref="C153:O154" si="58">+C145</f>
        <v>January</v>
      </c>
      <c r="D153" s="38" t="str">
        <f t="shared" si="58"/>
        <v>February</v>
      </c>
      <c r="E153" s="38" t="str">
        <f t="shared" si="58"/>
        <v>March</v>
      </c>
      <c r="F153" s="38" t="str">
        <f t="shared" si="58"/>
        <v>April</v>
      </c>
      <c r="G153" s="38" t="str">
        <f t="shared" si="58"/>
        <v>May</v>
      </c>
      <c r="H153" s="38" t="str">
        <f t="shared" si="58"/>
        <v>June</v>
      </c>
      <c r="I153" s="38" t="str">
        <f t="shared" si="58"/>
        <v>July</v>
      </c>
      <c r="J153" s="38" t="str">
        <f t="shared" si="58"/>
        <v>August</v>
      </c>
      <c r="K153" s="38" t="str">
        <f t="shared" si="58"/>
        <v>September</v>
      </c>
      <c r="L153" s="38" t="str">
        <f t="shared" si="58"/>
        <v>October</v>
      </c>
      <c r="M153" s="38" t="str">
        <f t="shared" si="58"/>
        <v>November</v>
      </c>
      <c r="N153" s="59" t="str">
        <f t="shared" si="58"/>
        <v>December</v>
      </c>
      <c r="O153" s="161" t="str">
        <f t="shared" si="58"/>
        <v>Annual</v>
      </c>
      <c r="P153" s="22"/>
      <c r="Q153" s="49"/>
    </row>
    <row r="154" spans="1:17" ht="15" customHeight="1" thickBot="1" x14ac:dyDescent="0.3">
      <c r="A154" s="70"/>
      <c r="B154" s="160" t="s">
        <v>65</v>
      </c>
      <c r="C154" s="162">
        <f t="shared" si="58"/>
        <v>965.37931599650335</v>
      </c>
      <c r="D154" s="163">
        <f t="shared" si="58"/>
        <v>950.21935096153834</v>
      </c>
      <c r="E154" s="163">
        <f t="shared" si="58"/>
        <v>1389.164849213287</v>
      </c>
      <c r="F154" s="163">
        <f t="shared" si="58"/>
        <v>1297.8220279720279</v>
      </c>
      <c r="G154" s="163">
        <f t="shared" si="58"/>
        <v>781.56070804195804</v>
      </c>
      <c r="H154" s="163">
        <f t="shared" si="58"/>
        <v>608.38633085664333</v>
      </c>
      <c r="I154" s="163">
        <f t="shared" si="58"/>
        <v>307.37232298951045</v>
      </c>
      <c r="J154" s="163">
        <f t="shared" si="58"/>
        <v>268.61361451048958</v>
      </c>
      <c r="K154" s="163">
        <f t="shared" si="58"/>
        <v>293.34532342657343</v>
      </c>
      <c r="L154" s="163">
        <f t="shared" si="58"/>
        <v>527.82885708041965</v>
      </c>
      <c r="M154" s="163">
        <f t="shared" si="58"/>
        <v>646.82248688811171</v>
      </c>
      <c r="N154" s="164">
        <f t="shared" si="58"/>
        <v>963.84315996503494</v>
      </c>
      <c r="O154" s="165">
        <f t="shared" si="58"/>
        <v>750.0298623251748</v>
      </c>
      <c r="P154" s="21"/>
      <c r="Q154" s="49"/>
    </row>
    <row r="155" spans="1:17" ht="15" customHeight="1" x14ac:dyDescent="0.25">
      <c r="A155" s="70"/>
      <c r="B155" s="172" t="s">
        <v>35</v>
      </c>
      <c r="C155" s="79">
        <f>IF(C154&gt;'cfs limit calculation'!$E$11,'cfs limit calculation'!$E$11,'Calculations - Outliers Removed'!C154)</f>
        <v>927.14285714285722</v>
      </c>
      <c r="D155" s="80">
        <f>IF(D154&gt;'cfs limit calculation'!$E$11,'cfs limit calculation'!$E$11,'Calculations - Outliers Removed'!D154)</f>
        <v>927.14285714285722</v>
      </c>
      <c r="E155" s="80">
        <f>IF(E154&gt;'cfs limit calculation'!$E$11,'cfs limit calculation'!$E$11,'Calculations - Outliers Removed'!E154)</f>
        <v>927.14285714285722</v>
      </c>
      <c r="F155" s="80">
        <f>IF(F154&gt;'cfs limit calculation'!$E$11,'cfs limit calculation'!$E$11,'Calculations - Outliers Removed'!F154)</f>
        <v>927.14285714285722</v>
      </c>
      <c r="G155" s="80">
        <f>IF(G154&gt;'cfs limit calculation'!$E$11,'cfs limit calculation'!$E$11,'Calculations - Outliers Removed'!G154)</f>
        <v>781.56070804195804</v>
      </c>
      <c r="H155" s="80">
        <f>IF(H154&gt;'cfs limit calculation'!$E$11,'cfs limit calculation'!$E$11,'Calculations - Outliers Removed'!H154)</f>
        <v>608.38633085664333</v>
      </c>
      <c r="I155" s="80">
        <f>IF(I154&gt;'cfs limit calculation'!$E$11,'cfs limit calculation'!$E$11,'Calculations - Outliers Removed'!I154)</f>
        <v>307.37232298951045</v>
      </c>
      <c r="J155" s="80">
        <f>IF(J154&gt;'cfs limit calculation'!$E$11,'cfs limit calculation'!$E$11,'Calculations - Outliers Removed'!J154)</f>
        <v>268.61361451048958</v>
      </c>
      <c r="K155" s="80">
        <f>IF(K154&gt;'cfs limit calculation'!$E$11,'cfs limit calculation'!$E$11,'Calculations - Outliers Removed'!K154)</f>
        <v>293.34532342657343</v>
      </c>
      <c r="L155" s="80">
        <f>IF(L154&gt;'cfs limit calculation'!$E$11,'cfs limit calculation'!$E$11,'Calculations - Outliers Removed'!L154)</f>
        <v>527.82885708041965</v>
      </c>
      <c r="M155" s="80">
        <f>IF(M154&gt;'cfs limit calculation'!$E$11,'cfs limit calculation'!$E$11,'Calculations - Outliers Removed'!M154)</f>
        <v>646.82248688811171</v>
      </c>
      <c r="N155" s="81">
        <f>IF(N154&gt;'cfs limit calculation'!$E$11,'cfs limit calculation'!$E$11,'Calculations - Outliers Removed'!N154)</f>
        <v>927.14285714285722</v>
      </c>
      <c r="O155" s="170">
        <f>AVERAGE(C155:N155)</f>
        <v>672.47032745899935</v>
      </c>
      <c r="P155" s="20"/>
      <c r="Q155" s="49"/>
    </row>
    <row r="156" spans="1:17" ht="15" customHeight="1" thickBot="1" x14ac:dyDescent="0.3">
      <c r="A156" s="70"/>
      <c r="B156" s="173" t="s">
        <v>34</v>
      </c>
      <c r="C156" s="294">
        <f t="shared" ref="C156:N156" si="59">C141</f>
        <v>0.68985470442308727</v>
      </c>
      <c r="D156" s="295">
        <f t="shared" si="59"/>
        <v>0.75237207622332358</v>
      </c>
      <c r="E156" s="295">
        <f t="shared" si="59"/>
        <v>0.69948284025361573</v>
      </c>
      <c r="F156" s="295">
        <f t="shared" si="59"/>
        <v>0.56873868102344416</v>
      </c>
      <c r="G156" s="295">
        <f t="shared" si="59"/>
        <v>0.79869903201718684</v>
      </c>
      <c r="H156" s="295">
        <f t="shared" si="59"/>
        <v>0.7238204327229022</v>
      </c>
      <c r="I156" s="295">
        <f t="shared" si="59"/>
        <v>0.4391258893862347</v>
      </c>
      <c r="J156" s="295">
        <f t="shared" si="59"/>
        <v>0.1978270893228555</v>
      </c>
      <c r="K156" s="295">
        <f t="shared" si="59"/>
        <v>0.27774786163484327</v>
      </c>
      <c r="L156" s="295">
        <f t="shared" si="59"/>
        <v>0.56773343311697633</v>
      </c>
      <c r="M156" s="295">
        <f t="shared" si="59"/>
        <v>0.73036013605681871</v>
      </c>
      <c r="N156" s="296">
        <f t="shared" si="59"/>
        <v>0.66036595590252956</v>
      </c>
      <c r="O156" s="297">
        <f>AVERAGE(C156:N156)</f>
        <v>0.5921773443403181</v>
      </c>
      <c r="P156" s="20"/>
    </row>
    <row r="157" spans="1:17" ht="15" customHeight="1" thickBot="1" x14ac:dyDescent="0.3">
      <c r="B157" s="171" t="s">
        <v>33</v>
      </c>
      <c r="C157" s="166">
        <f t="shared" ref="C157:N157" si="60">+C156*C155</f>
        <v>639.59386167226239</v>
      </c>
      <c r="D157" s="167">
        <f t="shared" si="60"/>
        <v>697.55639638419575</v>
      </c>
      <c r="E157" s="167">
        <f t="shared" si="60"/>
        <v>648.52051903513802</v>
      </c>
      <c r="F157" s="167">
        <f t="shared" si="60"/>
        <v>527.3020056917361</v>
      </c>
      <c r="G157" s="167">
        <f t="shared" si="60"/>
        <v>624.23178097577909</v>
      </c>
      <c r="H157" s="167">
        <f t="shared" si="60"/>
        <v>440.36245726335432</v>
      </c>
      <c r="I157" s="167">
        <f t="shared" si="60"/>
        <v>134.97514470548177</v>
      </c>
      <c r="J157" s="167">
        <f t="shared" si="60"/>
        <v>53.139049511101696</v>
      </c>
      <c r="K157" s="167">
        <f t="shared" si="60"/>
        <v>81.476036302312266</v>
      </c>
      <c r="L157" s="167">
        <f t="shared" si="60"/>
        <v>299.66608912847647</v>
      </c>
      <c r="M157" s="167">
        <f t="shared" si="60"/>
        <v>472.41335952821112</v>
      </c>
      <c r="N157" s="168">
        <f t="shared" si="60"/>
        <v>612.25357911534536</v>
      </c>
      <c r="O157" s="169">
        <f>SUM(C157:N157)</f>
        <v>5231.4902793133942</v>
      </c>
      <c r="P157" s="20"/>
    </row>
    <row r="158" spans="1:17" ht="15" customHeight="1" thickBot="1" x14ac:dyDescent="0.3">
      <c r="B158" s="23"/>
      <c r="C158" s="65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3"/>
      <c r="P158" s="18"/>
    </row>
    <row r="159" spans="1:17" ht="15" customHeight="1" x14ac:dyDescent="0.25">
      <c r="B159" s="255" t="s">
        <v>31</v>
      </c>
      <c r="C159" s="256">
        <f t="shared" ref="C159:O159" si="61">+C157/C149-1</f>
        <v>0.11645346612250806</v>
      </c>
      <c r="D159" s="257">
        <f t="shared" si="61"/>
        <v>0.23384962600468095</v>
      </c>
      <c r="E159" s="257">
        <f t="shared" si="61"/>
        <v>0.13203553804485768</v>
      </c>
      <c r="F159" s="257">
        <f t="shared" si="61"/>
        <v>-8.6105052933512449E-2</v>
      </c>
      <c r="G159" s="257">
        <f t="shared" si="61"/>
        <v>0.13632301006324354</v>
      </c>
      <c r="H159" s="257">
        <f t="shared" si="61"/>
        <v>8.1247927175922108E-2</v>
      </c>
      <c r="I159" s="257">
        <f t="shared" si="61"/>
        <v>-0.11973627435751422</v>
      </c>
      <c r="J159" s="257">
        <f t="shared" si="61"/>
        <v>0.32516041687588104</v>
      </c>
      <c r="K159" s="257">
        <f t="shared" si="61"/>
        <v>88.994599289803759</v>
      </c>
      <c r="L159" s="257">
        <f t="shared" si="61"/>
        <v>3.6723788745740054</v>
      </c>
      <c r="M159" s="257">
        <f t="shared" si="61"/>
        <v>0.39543735420302517</v>
      </c>
      <c r="N159" s="258">
        <f t="shared" si="61"/>
        <v>0.43171806608548646</v>
      </c>
      <c r="O159" s="259">
        <f t="shared" si="61"/>
        <v>0.22535651403772228</v>
      </c>
      <c r="P159" s="18"/>
    </row>
    <row r="160" spans="1:17" ht="15" customHeight="1" thickBot="1" x14ac:dyDescent="0.3">
      <c r="B160" s="171" t="s">
        <v>32</v>
      </c>
      <c r="C160" s="251">
        <f t="shared" ref="C160:N160" si="62">+C157/C151-1</f>
        <v>7.9836829560120837E-2</v>
      </c>
      <c r="D160" s="252">
        <f t="shared" si="62"/>
        <v>0.21500814267054547</v>
      </c>
      <c r="E160" s="252">
        <f t="shared" si="62"/>
        <v>0.11963854526518003</v>
      </c>
      <c r="F160" s="252">
        <f t="shared" si="62"/>
        <v>-7.3658234199234784E-2</v>
      </c>
      <c r="G160" s="252">
        <f t="shared" si="62"/>
        <v>0.14587559195625888</v>
      </c>
      <c r="H160" s="252">
        <f t="shared" si="62"/>
        <v>0.20811758340044073</v>
      </c>
      <c r="I160" s="252">
        <f t="shared" si="62"/>
        <v>-2.818506695031131E-2</v>
      </c>
      <c r="J160" s="252">
        <f t="shared" si="62"/>
        <v>0.51466300341537319</v>
      </c>
      <c r="K160" s="252">
        <f t="shared" si="62"/>
        <v>3.5274413113155259</v>
      </c>
      <c r="L160" s="252">
        <f t="shared" si="62"/>
        <v>2.0623713824480929</v>
      </c>
      <c r="M160" s="252">
        <f t="shared" si="62"/>
        <v>0.41796283117332611</v>
      </c>
      <c r="N160" s="253">
        <f t="shared" si="62"/>
        <v>0.40295022895984389</v>
      </c>
      <c r="O160" s="254">
        <f>+O157/O151-1</f>
        <v>0.22130232111899439</v>
      </c>
    </row>
    <row r="161" spans="13:17" ht="15" customHeight="1" thickBot="1" x14ac:dyDescent="0.3">
      <c r="M161" s="109" t="s">
        <v>50</v>
      </c>
      <c r="N161" s="108"/>
      <c r="O161" s="242">
        <f>+(O157-O151)/O157</f>
        <v>0.18120191642330666</v>
      </c>
    </row>
    <row r="162" spans="13:17" ht="15" customHeight="1" thickBot="1" x14ac:dyDescent="0.3">
      <c r="M162" s="110" t="s">
        <v>51</v>
      </c>
      <c r="N162" s="69"/>
      <c r="O162" s="243">
        <f>1-O161</f>
        <v>0.81879808357669337</v>
      </c>
    </row>
    <row r="163" spans="13:17" ht="15" customHeight="1" x14ac:dyDescent="0.25">
      <c r="P163" s="8"/>
    </row>
    <row r="164" spans="13:17" ht="15" customHeight="1" x14ac:dyDescent="0.25">
      <c r="P164" s="8"/>
    </row>
    <row r="165" spans="13:17" ht="15" customHeight="1" x14ac:dyDescent="0.25">
      <c r="P165" s="8"/>
    </row>
    <row r="166" spans="13:17" x14ac:dyDescent="0.25">
      <c r="P166" s="8"/>
    </row>
    <row r="167" spans="13:17" x14ac:dyDescent="0.25">
      <c r="P167" s="8"/>
    </row>
    <row r="168" spans="13:17" x14ac:dyDescent="0.25">
      <c r="P168" s="8"/>
    </row>
    <row r="169" spans="13:17" x14ac:dyDescent="0.25">
      <c r="P169" s="8"/>
      <c r="Q169" s="16"/>
    </row>
    <row r="170" spans="13:17" x14ac:dyDescent="0.25">
      <c r="P170" s="8"/>
      <c r="Q170" s="16"/>
    </row>
    <row r="171" spans="13:17" x14ac:dyDescent="0.25">
      <c r="P171" s="8"/>
      <c r="Q171" s="16"/>
    </row>
    <row r="172" spans="13:17" x14ac:dyDescent="0.25">
      <c r="P172" s="8"/>
      <c r="Q172" s="19"/>
    </row>
    <row r="173" spans="13:17" x14ac:dyDescent="0.25">
      <c r="P173" s="8"/>
      <c r="Q173" s="19"/>
    </row>
    <row r="174" spans="13:17" x14ac:dyDescent="0.25">
      <c r="P174" s="8"/>
    </row>
  </sheetData>
  <mergeCells count="2">
    <mergeCell ref="B138:B139"/>
    <mergeCell ref="B142:B143"/>
  </mergeCells>
  <pageMargins left="0.4" right="0.34" top="1.29" bottom="0.75" header="0.5" footer="0.5"/>
  <pageSetup paperSize="17" scale="45" orientation="portrait" r:id="rId1"/>
  <headerFooter alignWithMargins="0">
    <oddHeader>&amp;L&amp;"Arial,Bold Italic"&amp;11Table 2
Final Analysis
&amp;C&amp;"Arial,Bold Italic"&amp;11Pautucket Hydro
Generation Analysis&amp;R&amp;"Arial,Bold Italic"&amp;11The Essex Partnership, LLC
May 9, 2007</oddHeader>
  </headerFooter>
  <rowBreaks count="2" manualBreakCount="2">
    <brk id="117" max="26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Introduction-Instructions</vt:lpstr>
      <vt:lpstr>Monthly Historical Flow-Gen</vt:lpstr>
      <vt:lpstr>Average Historical Flow</vt:lpstr>
      <vt:lpstr>cfs limit calculation</vt:lpstr>
      <vt:lpstr>Calculations</vt:lpstr>
      <vt:lpstr>Calculations - Outliers Removed</vt:lpstr>
      <vt:lpstr>Calculations!Print_Area</vt:lpstr>
      <vt:lpstr>'Calculations - Outliers Removed'!Print_Area</vt:lpstr>
      <vt:lpstr>'Monthly Historical Flow-Gen'!Print_Area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Short</dc:creator>
  <cp:lastModifiedBy>Luly Massaro</cp:lastModifiedBy>
  <cp:lastPrinted>2013-04-19T19:37:03Z</cp:lastPrinted>
  <dcterms:created xsi:type="dcterms:W3CDTF">2011-05-28T13:54:25Z</dcterms:created>
  <dcterms:modified xsi:type="dcterms:W3CDTF">2013-04-19T19:37:57Z</dcterms:modified>
</cp:coreProperties>
</file>